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Sheet1" sheetId="1" r:id="rId1"/>
  </sheets>
  <calcPr calcId="125725"/>
</workbook>
</file>

<file path=xl/calcChain.xml><?xml version="1.0" encoding="utf-8"?>
<calcChain xmlns="http://schemas.openxmlformats.org/spreadsheetml/2006/main">
  <c r="B165" i="1"/>
  <c r="F157"/>
  <c r="E157"/>
  <c r="D157"/>
  <c r="C157"/>
  <c r="B157"/>
  <c r="B156"/>
  <c r="C155"/>
  <c r="B155"/>
  <c r="G154"/>
  <c r="F154"/>
  <c r="E154"/>
  <c r="D154"/>
  <c r="C154"/>
  <c r="B154"/>
  <c r="F153"/>
  <c r="E153"/>
  <c r="D153"/>
  <c r="C153"/>
  <c r="B153"/>
  <c r="F152"/>
  <c r="E152"/>
  <c r="D152"/>
  <c r="C152"/>
  <c r="G151"/>
  <c r="F151"/>
  <c r="E151"/>
  <c r="D151"/>
  <c r="C151"/>
  <c r="B136" l="1"/>
  <c r="C136" s="1"/>
  <c r="B89"/>
  <c r="B103"/>
  <c r="B152" s="1"/>
  <c r="E106"/>
  <c r="D106"/>
  <c r="D155" s="1"/>
  <c r="B75"/>
  <c r="B77" s="1"/>
  <c r="B80" s="1"/>
  <c r="B81" s="1"/>
  <c r="B65"/>
  <c r="B68" s="1"/>
  <c r="B69" s="1"/>
  <c r="B51"/>
  <c r="B37"/>
  <c r="B31"/>
  <c r="E29"/>
  <c r="E30" s="1"/>
  <c r="D29"/>
  <c r="D30" s="1"/>
  <c r="C29"/>
  <c r="C49" s="1"/>
  <c r="C50" s="1"/>
  <c r="E15"/>
  <c r="D15"/>
  <c r="C15"/>
  <c r="B9"/>
  <c r="B10" s="1"/>
  <c r="B11" s="1"/>
  <c r="B38" s="1"/>
  <c r="G103" l="1"/>
  <c r="G152" s="1"/>
  <c r="B134"/>
  <c r="C134" s="1"/>
  <c r="F106"/>
  <c r="E155"/>
  <c r="B92"/>
  <c r="E49"/>
  <c r="E50" s="1"/>
  <c r="D49"/>
  <c r="D50" s="1"/>
  <c r="D51" s="1"/>
  <c r="C51"/>
  <c r="B39"/>
  <c r="C30"/>
  <c r="C31" s="1"/>
  <c r="E31"/>
  <c r="D31"/>
  <c r="C16"/>
  <c r="G106" l="1"/>
  <c r="F155"/>
  <c r="E51"/>
  <c r="B54" s="1"/>
  <c r="B102"/>
  <c r="B151" s="1"/>
  <c r="B161" s="1"/>
  <c r="B94"/>
  <c r="G104" s="1"/>
  <c r="B34"/>
  <c r="D16"/>
  <c r="C17"/>
  <c r="G155" l="1"/>
  <c r="B137"/>
  <c r="G153"/>
  <c r="B135"/>
  <c r="B95"/>
  <c r="E16"/>
  <c r="E17" s="1"/>
  <c r="D17"/>
  <c r="C18"/>
  <c r="C19" s="1"/>
  <c r="C20" s="1"/>
  <c r="C137" l="1"/>
  <c r="B114"/>
  <c r="B116" s="1"/>
  <c r="C107"/>
  <c r="C156" s="1"/>
  <c r="C158" s="1"/>
  <c r="C159" s="1"/>
  <c r="C160" s="1"/>
  <c r="C161" s="1"/>
  <c r="B96"/>
  <c r="G108" s="1"/>
  <c r="E18"/>
  <c r="E19" s="1"/>
  <c r="E20" s="1"/>
  <c r="D18"/>
  <c r="D19" s="1"/>
  <c r="D20" s="1"/>
  <c r="G157" l="1"/>
  <c r="B139"/>
  <c r="D107"/>
  <c r="D156" s="1"/>
  <c r="D158" s="1"/>
  <c r="D159" s="1"/>
  <c r="D160" s="1"/>
  <c r="D161" s="1"/>
  <c r="C109"/>
  <c r="B23"/>
  <c r="D109" l="1"/>
  <c r="E107"/>
  <c r="E156" s="1"/>
  <c r="E158" s="1"/>
  <c r="C110"/>
  <c r="C111" s="1"/>
  <c r="E159" l="1"/>
  <c r="E160" s="1"/>
  <c r="E161" s="1"/>
  <c r="D110"/>
  <c r="D111" s="1"/>
  <c r="F107"/>
  <c r="F156" s="1"/>
  <c r="F158" s="1"/>
  <c r="F159" s="1"/>
  <c r="F160" s="1"/>
  <c r="F161" s="1"/>
  <c r="E109"/>
  <c r="G107" l="1"/>
  <c r="F109"/>
  <c r="E111"/>
  <c r="E110"/>
  <c r="G109" l="1"/>
  <c r="G156"/>
  <c r="G158" s="1"/>
  <c r="G159" s="1"/>
  <c r="G160" s="1"/>
  <c r="G161" s="1"/>
  <c r="B138"/>
  <c r="F110"/>
  <c r="F111" s="1"/>
  <c r="B167" l="1"/>
  <c r="B168"/>
  <c r="G111"/>
  <c r="C138"/>
  <c r="C140" s="1"/>
  <c r="B140"/>
  <c r="G110"/>
  <c r="C141" l="1"/>
  <c r="C142" s="1"/>
  <c r="B141"/>
  <c r="B142" s="1"/>
</calcChain>
</file>

<file path=xl/sharedStrings.xml><?xml version="1.0" encoding="utf-8"?>
<sst xmlns="http://schemas.openxmlformats.org/spreadsheetml/2006/main" count="126" uniqueCount="80">
  <si>
    <t>Option 1</t>
  </si>
  <si>
    <t>Year</t>
  </si>
  <si>
    <t>Revenue</t>
  </si>
  <si>
    <t>Useful Life</t>
  </si>
  <si>
    <t>Annual Depreciation</t>
  </si>
  <si>
    <t>Accumilated Depreciation</t>
  </si>
  <si>
    <t>WDV</t>
  </si>
  <si>
    <t>Variable Cost</t>
  </si>
  <si>
    <t>NPV</t>
  </si>
  <si>
    <t>Depreciation</t>
  </si>
  <si>
    <t>PBT</t>
  </si>
  <si>
    <t>Tax 0%</t>
  </si>
  <si>
    <t>PAT</t>
  </si>
  <si>
    <t>Annual Cash Flow</t>
  </si>
  <si>
    <t>Required Return</t>
  </si>
  <si>
    <t>Assumptions</t>
  </si>
  <si>
    <t>Purchase Price (Mould)</t>
  </si>
  <si>
    <t>NPV (Option 1)</t>
  </si>
  <si>
    <t>Sale Price</t>
  </si>
  <si>
    <t>Annual Lease</t>
  </si>
  <si>
    <t>Annual Revenue</t>
  </si>
  <si>
    <t>Net Cash Flow</t>
  </si>
  <si>
    <t>NPV (Option 2)</t>
  </si>
  <si>
    <t xml:space="preserve">Sale Price </t>
  </si>
  <si>
    <t xml:space="preserve">Loss on Sale </t>
  </si>
  <si>
    <t>Since option 2, sale and Lease back has a higher NPV it should be seleced</t>
  </si>
  <si>
    <t>Note: There will be no tax impact of loss made on sale of asset as company has a tax break.</t>
  </si>
  <si>
    <t>Option 2 (Sale &amp; leaseback)</t>
  </si>
  <si>
    <t>a)</t>
  </si>
  <si>
    <t>b)</t>
  </si>
  <si>
    <t>Assuming no other costs are incurred when relocating production overseas the company should not consider options in part (a).</t>
  </si>
  <si>
    <t>Question 1</t>
  </si>
  <si>
    <t>Question 2</t>
  </si>
  <si>
    <t>D0</t>
  </si>
  <si>
    <t xml:space="preserve">g </t>
  </si>
  <si>
    <t>r</t>
  </si>
  <si>
    <t>Market Price</t>
  </si>
  <si>
    <t>Over / (Under) Valued</t>
  </si>
  <si>
    <t>Fundamental Price</t>
  </si>
  <si>
    <t>Buy / Sell</t>
  </si>
  <si>
    <t>Question 3</t>
  </si>
  <si>
    <t>Initial Cost Type</t>
  </si>
  <si>
    <t>Amount</t>
  </si>
  <si>
    <t>Sunk/Relevent</t>
  </si>
  <si>
    <t xml:space="preserve">Equipment </t>
  </si>
  <si>
    <t>Relevent</t>
  </si>
  <si>
    <t>Feasibility Study</t>
  </si>
  <si>
    <t xml:space="preserve">Sunk </t>
  </si>
  <si>
    <t xml:space="preserve">Total Equipment Cost </t>
  </si>
  <si>
    <t>WC Investment  (Y0)</t>
  </si>
  <si>
    <t>Scrap Value</t>
  </si>
  <si>
    <t>Sales</t>
  </si>
  <si>
    <t>Variable Costs</t>
  </si>
  <si>
    <t>Initial Investment</t>
  </si>
  <si>
    <t xml:space="preserve">Working Capital </t>
  </si>
  <si>
    <t>Salvage Value</t>
  </si>
  <si>
    <t xml:space="preserve">Gain on Sale of Equipment </t>
  </si>
  <si>
    <t>Total Depreciation</t>
  </si>
  <si>
    <t>Tax @20%</t>
  </si>
  <si>
    <t>Operating Cash Flow</t>
  </si>
  <si>
    <t>Instalation Cost (Exc Tax Credit)</t>
  </si>
  <si>
    <t>Tax Impact of Depreciation</t>
  </si>
  <si>
    <t>Tax Rate</t>
  </si>
  <si>
    <t>Although depreciation is a not cash expense it can be used to offset taxable income. Specifically, the company tax expense is reduced to 713,800 when depreciation is taken into account compared to 900,000 if no depreciation expense is recorded. Similarly, the total operating cash flows are higher by $186,200 when depreciation is recognized.</t>
  </si>
  <si>
    <t>c)</t>
  </si>
  <si>
    <t>d)</t>
  </si>
  <si>
    <t>Total Cash Flow</t>
  </si>
  <si>
    <t>Current Cash Flows</t>
  </si>
  <si>
    <t>Asset Sold at Loss</t>
  </si>
  <si>
    <t xml:space="preserve">If the company makes a loss on sale of asset in final year of operation overall a tax credit can be achived on the loss that is incurred by the company. However, this tax credit may not fully offset the impact of reducted salvage value. The total final year cash flows for the business under current assumptions and under the assumption of company selling the asset at $200,000 hence making a loss of $45,000 are presented below. The resuts indicate that overall cash flows were lower when asset was sold at a loss despite the lower tax expense. </t>
  </si>
  <si>
    <t>Year 5</t>
  </si>
  <si>
    <t>e)</t>
  </si>
  <si>
    <t>Total Annual Cash Flows</t>
  </si>
  <si>
    <t>Discount Rate</t>
  </si>
  <si>
    <t>Risk Premium</t>
  </si>
  <si>
    <t xml:space="preserve">Total Cost of Capital </t>
  </si>
  <si>
    <t>IRR</t>
  </si>
  <si>
    <t xml:space="preserve">Given that the project represents a higher level of risk compared to company's overall risk profile an additional risk premium should be added when analyzing the project. This will account for the uncertainty surrounding the project and allow for a more realistic capital budgeting analysis. Specifically, the discount rate used for capital budgeting purposes should reflect the risk of the project being considered and hence should not use the overall average discount rate for the company as a whole. (Lumen Learning, 2021)
Decision: Project NPV and IRR under revised assumptions presented below indicate that the project has an overall positive NPV and hence will add to overall shareholder's wealth and hence should be accepted. </t>
  </si>
  <si>
    <t>Interest paid on loan's should not be included in the overall cash flow calculations as financing costs are already taken into account as part of the discounting process. In other words, financing costs such as interest payments are embodied in the overall project cost of capital (r). Therefore including such cash flows in capital budgeting analysis will lead to double counting, of financing costs and hence should not be included within the project’s incremental cash outflows. (Scranton.edu, 2021)</t>
  </si>
  <si>
    <t>References
Fabozzi, F., &amp; Peterson, P. (2002). Capital Budgeting: Theory and Practice.
Lumen Learning. (2021). The Basics of the Cost of Capital | Boundless Finance. Retrieved 5 April 2021, from https://courses.lumenlearning.com/boundless-finance/chapter/the-basics-of-the-cost-of-capital/
Scranton.edu. (2021). CAPITAL BUDGETING UNDER CERTAINTY [Ebook]. Retrieved from https://www.scranton.edu/faculty/hussain/teaching/fin508_online_/508C04.pdf</t>
  </si>
</sst>
</file>

<file path=xl/styles.xml><?xml version="1.0" encoding="utf-8"?>
<styleSheet xmlns="http://schemas.openxmlformats.org/spreadsheetml/2006/main">
  <numFmts count="3">
    <numFmt numFmtId="43" formatCode="_(* #,##0.00_);_(* \(#,##0.00\);_(* &quot;-&quot;??_);_(@_)"/>
    <numFmt numFmtId="164" formatCode="_(* #,##0_);_(* \(#,##0\);_(* &quot;-&quot;??_);_(@_)"/>
    <numFmt numFmtId="165" formatCode="_(* #,##0.0_);_(* \(#,##0.0\);_(* &quot;-&quot;?_);_(@_)"/>
  </numFmts>
  <fonts count="11">
    <font>
      <sz val="11"/>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b/>
      <i/>
      <sz val="10"/>
      <color theme="1"/>
      <name val="Calibri"/>
      <family val="2"/>
      <scheme val="minor"/>
    </font>
    <font>
      <b/>
      <i/>
      <sz val="10"/>
      <color rgb="FFFF0000"/>
      <name val="Calibri"/>
      <family val="2"/>
      <scheme val="minor"/>
    </font>
    <font>
      <sz val="10"/>
      <name val="Calibri"/>
      <family val="2"/>
      <scheme val="minor"/>
    </font>
    <font>
      <b/>
      <sz val="10"/>
      <name val="Calibri"/>
      <family val="2"/>
      <scheme val="minor"/>
    </font>
    <font>
      <sz val="10"/>
      <color theme="0"/>
      <name val="Calibri"/>
      <family val="2"/>
      <scheme val="minor"/>
    </font>
    <font>
      <sz val="18"/>
      <color rgb="FF000000"/>
      <name val="Times New Roman"/>
      <family val="1"/>
    </font>
  </fonts>
  <fills count="3">
    <fill>
      <patternFill patternType="none"/>
    </fill>
    <fill>
      <patternFill patternType="gray125"/>
    </fill>
    <fill>
      <patternFill patternType="solid">
        <fgColor theme="3" tint="0.39997558519241921"/>
        <bgColor indexed="64"/>
      </patternFill>
    </fill>
  </fills>
  <borders count="10">
    <border>
      <left/>
      <right/>
      <top/>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9">
    <xf numFmtId="0" fontId="0" fillId="0" borderId="0" xfId="0"/>
    <xf numFmtId="0" fontId="2" fillId="0" borderId="0" xfId="0" applyFont="1"/>
    <xf numFmtId="0" fontId="2" fillId="0" borderId="0" xfId="0" applyFont="1" applyAlignment="1">
      <alignment horizontal="center"/>
    </xf>
    <xf numFmtId="164" fontId="2" fillId="0" borderId="0" xfId="1" applyNumberFormat="1" applyFont="1"/>
    <xf numFmtId="164" fontId="2" fillId="0" borderId="0" xfId="0" applyNumberFormat="1" applyFont="1"/>
    <xf numFmtId="0" fontId="3" fillId="0" borderId="0" xfId="0" applyFont="1" applyAlignment="1">
      <alignment horizontal="center"/>
    </xf>
    <xf numFmtId="43" fontId="2" fillId="0" borderId="0" xfId="1" applyFont="1"/>
    <xf numFmtId="9" fontId="2" fillId="0" borderId="0" xfId="0" applyNumberFormat="1" applyFont="1"/>
    <xf numFmtId="0" fontId="3" fillId="0" borderId="0" xfId="0" applyFont="1"/>
    <xf numFmtId="164" fontId="3" fillId="0" borderId="1" xfId="1" applyNumberFormat="1" applyFont="1" applyBorder="1"/>
    <xf numFmtId="0" fontId="4" fillId="2" borderId="0" xfId="0" applyFont="1" applyFill="1"/>
    <xf numFmtId="0" fontId="4" fillId="2" borderId="0" xfId="0" applyFont="1" applyFill="1" applyAlignment="1">
      <alignment horizontal="center"/>
    </xf>
    <xf numFmtId="0" fontId="5" fillId="0" borderId="0" xfId="0" applyFont="1"/>
    <xf numFmtId="0" fontId="6" fillId="0" borderId="0" xfId="0" applyFont="1"/>
    <xf numFmtId="43" fontId="2" fillId="0" borderId="0" xfId="1" applyFont="1" applyAlignment="1">
      <alignment horizontal="right"/>
    </xf>
    <xf numFmtId="9" fontId="2" fillId="0" borderId="0" xfId="2" applyNumberFormat="1" applyFont="1" applyAlignment="1">
      <alignment horizontal="right"/>
    </xf>
    <xf numFmtId="0" fontId="3" fillId="0" borderId="0" xfId="0" applyFont="1" applyAlignment="1">
      <alignment horizontal="right"/>
    </xf>
    <xf numFmtId="43" fontId="3" fillId="0" borderId="1" xfId="1" applyNumberFormat="1" applyFont="1" applyBorder="1"/>
    <xf numFmtId="0" fontId="6" fillId="0" borderId="0" xfId="0" applyFont="1" applyAlignment="1">
      <alignment horizontal="right"/>
    </xf>
    <xf numFmtId="0" fontId="4" fillId="2" borderId="0" xfId="0" applyFont="1" applyFill="1" applyAlignment="1">
      <alignment horizontal="center" vertical="center"/>
    </xf>
    <xf numFmtId="3" fontId="2" fillId="0" borderId="0" xfId="0" applyNumberFormat="1" applyFont="1"/>
    <xf numFmtId="165" fontId="2" fillId="0" borderId="0" xfId="0" applyNumberFormat="1" applyFont="1"/>
    <xf numFmtId="0" fontId="4" fillId="2" borderId="0" xfId="0" applyFont="1" applyFill="1" applyAlignment="1">
      <alignment horizontal="center" vertical="center" wrapText="1"/>
    </xf>
    <xf numFmtId="164" fontId="6" fillId="0" borderId="1" xfId="1" applyNumberFormat="1" applyFont="1" applyBorder="1"/>
    <xf numFmtId="0" fontId="6" fillId="0" borderId="1" xfId="0" applyFont="1" applyBorder="1"/>
    <xf numFmtId="165" fontId="6" fillId="0" borderId="1" xfId="0" applyNumberFormat="1" applyFont="1" applyBorder="1"/>
    <xf numFmtId="0" fontId="3" fillId="0" borderId="1" xfId="0" applyFont="1" applyBorder="1"/>
    <xf numFmtId="0" fontId="2" fillId="0" borderId="1" xfId="0" applyFont="1" applyBorder="1"/>
    <xf numFmtId="0" fontId="7" fillId="0" borderId="0" xfId="0" applyFont="1" applyBorder="1"/>
    <xf numFmtId="9" fontId="3" fillId="0" borderId="1" xfId="2" applyFont="1" applyBorder="1"/>
    <xf numFmtId="164" fontId="7" fillId="0" borderId="0" xfId="1" applyNumberFormat="1" applyFont="1" applyBorder="1"/>
    <xf numFmtId="0" fontId="6" fillId="0" borderId="2" xfId="0" applyFont="1" applyBorder="1"/>
    <xf numFmtId="164" fontId="6" fillId="0" borderId="3" xfId="1" applyNumberFormat="1" applyFont="1" applyBorder="1"/>
    <xf numFmtId="0" fontId="6" fillId="0" borderId="4" xfId="0" applyFont="1" applyBorder="1"/>
    <xf numFmtId="9" fontId="6" fillId="0" borderId="5" xfId="0" applyNumberFormat="1" applyFont="1" applyBorder="1"/>
    <xf numFmtId="0" fontId="4" fillId="2" borderId="0" xfId="0" applyFont="1" applyFill="1" applyAlignment="1">
      <alignment horizontal="centerContinuous"/>
    </xf>
    <xf numFmtId="0" fontId="9" fillId="2" borderId="0" xfId="0" applyFont="1" applyFill="1" applyAlignment="1">
      <alignment horizontal="centerContinuous"/>
    </xf>
    <xf numFmtId="0" fontId="10" fillId="0" borderId="0" xfId="0" applyFont="1" applyAlignment="1"/>
    <xf numFmtId="0" fontId="8" fillId="0" borderId="2" xfId="0" applyFont="1" applyBorder="1" applyAlignment="1">
      <alignment vertical="top" wrapText="1"/>
    </xf>
    <xf numFmtId="0" fontId="8" fillId="0" borderId="6" xfId="0" applyFont="1" applyBorder="1" applyAlignment="1">
      <alignment vertical="top" wrapText="1"/>
    </xf>
    <xf numFmtId="0" fontId="8" fillId="0" borderId="3" xfId="0" applyFont="1" applyBorder="1" applyAlignment="1">
      <alignment vertical="top" wrapText="1"/>
    </xf>
    <xf numFmtId="0" fontId="8" fillId="0" borderId="7" xfId="0" applyFont="1" applyBorder="1" applyAlignment="1">
      <alignment vertical="top" wrapText="1"/>
    </xf>
    <xf numFmtId="0" fontId="8" fillId="0" borderId="0" xfId="0" applyFont="1" applyBorder="1" applyAlignment="1">
      <alignment vertical="top" wrapText="1"/>
    </xf>
    <xf numFmtId="0" fontId="8" fillId="0" borderId="8" xfId="0" applyFont="1" applyBorder="1" applyAlignment="1">
      <alignment vertical="top" wrapText="1"/>
    </xf>
    <xf numFmtId="0" fontId="8" fillId="0" borderId="4" xfId="0" applyFont="1" applyBorder="1" applyAlignment="1">
      <alignment vertical="top" wrapText="1"/>
    </xf>
    <xf numFmtId="0" fontId="8" fillId="0" borderId="9" xfId="0" applyFont="1" applyBorder="1" applyAlignment="1">
      <alignment vertical="top" wrapText="1"/>
    </xf>
    <xf numFmtId="0" fontId="8" fillId="0" borderId="5" xfId="0" applyFont="1" applyBorder="1" applyAlignment="1">
      <alignment vertical="top" wrapText="1"/>
    </xf>
    <xf numFmtId="0" fontId="6" fillId="0" borderId="0" xfId="0" applyFont="1" applyAlignment="1">
      <alignment horizontal="left" wrapText="1"/>
    </xf>
    <xf numFmtId="0" fontId="6" fillId="0" borderId="0" xfId="0" applyFont="1" applyAlignment="1">
      <alignment horizontal="justify" vertical="top" wrapText="1"/>
    </xf>
  </cellXfs>
  <cellStyles count="3">
    <cellStyle name="Comma" xfId="1" builtinId="3"/>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G177"/>
  <sheetViews>
    <sheetView showGridLines="0" tabSelected="1" workbookViewId="0">
      <selection activeCell="A173" sqref="A173:G176"/>
    </sheetView>
  </sheetViews>
  <sheetFormatPr defaultRowHeight="12.75"/>
  <cols>
    <col min="1" max="1" width="26.85546875" style="1" customWidth="1"/>
    <col min="2" max="2" width="14.140625" style="1" bestFit="1" customWidth="1"/>
    <col min="3" max="3" width="13.28515625" style="1" bestFit="1" customWidth="1"/>
    <col min="4" max="7" width="13.140625" style="1" bestFit="1" customWidth="1"/>
    <col min="8" max="16384" width="9.140625" style="1"/>
  </cols>
  <sheetData>
    <row r="2" spans="1:7">
      <c r="A2" s="35" t="s">
        <v>31</v>
      </c>
      <c r="B2" s="36"/>
      <c r="C2" s="36"/>
      <c r="D2" s="36"/>
      <c r="E2" s="36"/>
    </row>
    <row r="3" spans="1:7">
      <c r="A3" s="8" t="s">
        <v>28</v>
      </c>
    </row>
    <row r="4" spans="1:7" ht="12" customHeight="1">
      <c r="A4" s="12" t="s">
        <v>0</v>
      </c>
    </row>
    <row r="5" spans="1:7" ht="12" customHeight="1">
      <c r="A5" s="8" t="s">
        <v>15</v>
      </c>
    </row>
    <row r="6" spans="1:7" ht="12" customHeight="1">
      <c r="A6" s="1" t="s">
        <v>14</v>
      </c>
      <c r="B6" s="7">
        <v>0.05</v>
      </c>
    </row>
    <row r="7" spans="1:7" ht="12" customHeight="1">
      <c r="A7" s="1" t="s">
        <v>16</v>
      </c>
      <c r="B7" s="3">
        <v>500000</v>
      </c>
    </row>
    <row r="8" spans="1:7" ht="12" customHeight="1">
      <c r="A8" s="1" t="s">
        <v>3</v>
      </c>
      <c r="B8" s="3">
        <v>10</v>
      </c>
    </row>
    <row r="9" spans="1:7" ht="12" customHeight="1">
      <c r="A9" s="1" t="s">
        <v>4</v>
      </c>
      <c r="B9" s="3">
        <f>B7/B8</f>
        <v>50000</v>
      </c>
    </row>
    <row r="10" spans="1:7" ht="12" customHeight="1">
      <c r="A10" s="1" t="s">
        <v>5</v>
      </c>
      <c r="B10" s="4">
        <f>B9*7</f>
        <v>350000</v>
      </c>
    </row>
    <row r="11" spans="1:7" ht="12" customHeight="1">
      <c r="A11" s="1" t="s">
        <v>6</v>
      </c>
      <c r="B11" s="4">
        <f>B7-B10</f>
        <v>150000</v>
      </c>
    </row>
    <row r="12" spans="1:7" ht="12" customHeight="1"/>
    <row r="13" spans="1:7">
      <c r="A13" s="10" t="s">
        <v>1</v>
      </c>
      <c r="B13" s="11">
        <v>0</v>
      </c>
      <c r="C13" s="11">
        <v>1</v>
      </c>
      <c r="D13" s="11">
        <v>2</v>
      </c>
      <c r="E13" s="11">
        <v>3</v>
      </c>
      <c r="F13" s="5"/>
      <c r="G13" s="5"/>
    </row>
    <row r="14" spans="1:7">
      <c r="A14" s="1" t="s">
        <v>2</v>
      </c>
      <c r="B14" s="3"/>
      <c r="C14" s="3">
        <v>20000</v>
      </c>
      <c r="D14" s="3">
        <v>20000</v>
      </c>
      <c r="E14" s="3">
        <v>20000</v>
      </c>
    </row>
    <row r="15" spans="1:7">
      <c r="A15" s="1" t="s">
        <v>7</v>
      </c>
      <c r="B15" s="3"/>
      <c r="C15" s="3">
        <f>-C14*0.2</f>
        <v>-4000</v>
      </c>
      <c r="D15" s="3">
        <f>-D14*0.2</f>
        <v>-4000</v>
      </c>
      <c r="E15" s="3">
        <f>-E14*0.2</f>
        <v>-4000</v>
      </c>
    </row>
    <row r="16" spans="1:7">
      <c r="A16" s="1" t="s">
        <v>9</v>
      </c>
      <c r="B16" s="3"/>
      <c r="C16" s="3">
        <f>-B9</f>
        <v>-50000</v>
      </c>
      <c r="D16" s="3">
        <f>C16</f>
        <v>-50000</v>
      </c>
      <c r="E16" s="3">
        <f>D16</f>
        <v>-50000</v>
      </c>
    </row>
    <row r="17" spans="1:5">
      <c r="A17" s="1" t="s">
        <v>10</v>
      </c>
      <c r="B17" s="3"/>
      <c r="C17" s="3">
        <f>SUM(C14:C16)</f>
        <v>-34000</v>
      </c>
      <c r="D17" s="3">
        <f t="shared" ref="D17:E17" si="0">SUM(D14:D16)</f>
        <v>-34000</v>
      </c>
      <c r="E17" s="3">
        <f t="shared" si="0"/>
        <v>-34000</v>
      </c>
    </row>
    <row r="18" spans="1:5">
      <c r="A18" s="1" t="s">
        <v>11</v>
      </c>
      <c r="B18" s="3"/>
      <c r="C18" s="3">
        <f>C17*0%</f>
        <v>0</v>
      </c>
      <c r="D18" s="3">
        <f t="shared" ref="D18:E18" si="1">D17*0%</f>
        <v>0</v>
      </c>
      <c r="E18" s="3">
        <f t="shared" si="1"/>
        <v>0</v>
      </c>
    </row>
    <row r="19" spans="1:5">
      <c r="A19" s="1" t="s">
        <v>12</v>
      </c>
      <c r="B19" s="3"/>
      <c r="C19" s="3">
        <f>C17+C18</f>
        <v>-34000</v>
      </c>
      <c r="D19" s="3">
        <f t="shared" ref="D19:E19" si="2">D17+D18</f>
        <v>-34000</v>
      </c>
      <c r="E19" s="3">
        <f t="shared" si="2"/>
        <v>-34000</v>
      </c>
    </row>
    <row r="20" spans="1:5" ht="13.5" thickBot="1">
      <c r="A20" s="26" t="s">
        <v>13</v>
      </c>
      <c r="B20" s="9"/>
      <c r="C20" s="9">
        <f>C19-C16</f>
        <v>16000</v>
      </c>
      <c r="D20" s="9">
        <f t="shared" ref="D20:E20" si="3">D19-D16</f>
        <v>16000</v>
      </c>
      <c r="E20" s="9">
        <f t="shared" si="3"/>
        <v>16000</v>
      </c>
    </row>
    <row r="21" spans="1:5">
      <c r="B21" s="6"/>
      <c r="C21" s="6"/>
      <c r="D21" s="6"/>
      <c r="E21" s="6"/>
    </row>
    <row r="23" spans="1:5" ht="13.5" thickBot="1">
      <c r="A23" s="26" t="s">
        <v>17</v>
      </c>
      <c r="B23" s="9">
        <f>NPV(B6,C20:E20)</f>
        <v>43571.968469927655</v>
      </c>
    </row>
    <row r="25" spans="1:5">
      <c r="A25" s="12" t="s">
        <v>27</v>
      </c>
    </row>
    <row r="26" spans="1:5">
      <c r="A26" s="10" t="s">
        <v>1</v>
      </c>
      <c r="B26" s="11">
        <v>0</v>
      </c>
      <c r="C26" s="11">
        <v>1</v>
      </c>
      <c r="D26" s="11">
        <v>2</v>
      </c>
      <c r="E26" s="11">
        <v>3</v>
      </c>
    </row>
    <row r="27" spans="1:5">
      <c r="A27" s="1" t="s">
        <v>18</v>
      </c>
      <c r="B27" s="3">
        <v>100000</v>
      </c>
      <c r="C27" s="3"/>
      <c r="D27" s="3"/>
      <c r="E27" s="3"/>
    </row>
    <row r="28" spans="1:5">
      <c r="A28" s="1" t="s">
        <v>19</v>
      </c>
      <c r="B28" s="3">
        <v>-20000</v>
      </c>
      <c r="C28" s="3">
        <v>-20000</v>
      </c>
      <c r="D28" s="3">
        <v>-20000</v>
      </c>
      <c r="E28" s="3"/>
    </row>
    <row r="29" spans="1:5">
      <c r="A29" s="1" t="s">
        <v>20</v>
      </c>
      <c r="B29" s="3"/>
      <c r="C29" s="3">
        <f>C14</f>
        <v>20000</v>
      </c>
      <c r="D29" s="3">
        <f t="shared" ref="D29:E29" si="4">D14</f>
        <v>20000</v>
      </c>
      <c r="E29" s="3">
        <f t="shared" si="4"/>
        <v>20000</v>
      </c>
    </row>
    <row r="30" spans="1:5">
      <c r="A30" s="1" t="s">
        <v>7</v>
      </c>
      <c r="B30" s="3"/>
      <c r="C30" s="3">
        <f>C29*-0.2</f>
        <v>-4000</v>
      </c>
      <c r="D30" s="3">
        <f t="shared" ref="D30:E30" si="5">D29*-0.2</f>
        <v>-4000</v>
      </c>
      <c r="E30" s="3">
        <f t="shared" si="5"/>
        <v>-4000</v>
      </c>
    </row>
    <row r="31" spans="1:5" ht="13.5" thickBot="1">
      <c r="A31" s="26" t="s">
        <v>21</v>
      </c>
      <c r="B31" s="9">
        <f>SUM(B27:B30)</f>
        <v>80000</v>
      </c>
      <c r="C31" s="9">
        <f t="shared" ref="C31:E31" si="6">SUM(C27:C30)</f>
        <v>-4000</v>
      </c>
      <c r="D31" s="9">
        <f t="shared" si="6"/>
        <v>-4000</v>
      </c>
      <c r="E31" s="9">
        <f t="shared" si="6"/>
        <v>16000</v>
      </c>
    </row>
    <row r="32" spans="1:5">
      <c r="B32" s="3"/>
      <c r="C32" s="3"/>
      <c r="D32" s="3"/>
      <c r="E32" s="3"/>
    </row>
    <row r="34" spans="1:5" ht="13.5" thickBot="1">
      <c r="A34" s="26" t="s">
        <v>22</v>
      </c>
      <c r="B34" s="9">
        <f>NPV(B6,C31:E31)+B31</f>
        <v>86383.759853147611</v>
      </c>
    </row>
    <row r="37" spans="1:5">
      <c r="A37" s="1" t="s">
        <v>23</v>
      </c>
      <c r="B37" s="4">
        <f>B27</f>
        <v>100000</v>
      </c>
    </row>
    <row r="38" spans="1:5">
      <c r="A38" s="1" t="s">
        <v>6</v>
      </c>
      <c r="B38" s="4">
        <f>B11</f>
        <v>150000</v>
      </c>
    </row>
    <row r="39" spans="1:5" ht="13.5" thickBot="1">
      <c r="A39" s="27" t="s">
        <v>24</v>
      </c>
      <c r="B39" s="9">
        <f>B37-B38</f>
        <v>-50000</v>
      </c>
    </row>
    <row r="41" spans="1:5">
      <c r="A41" s="12" t="s">
        <v>26</v>
      </c>
    </row>
    <row r="43" spans="1:5">
      <c r="A43" s="13" t="s">
        <v>25</v>
      </c>
    </row>
    <row r="45" spans="1:5">
      <c r="A45" s="8" t="s">
        <v>29</v>
      </c>
    </row>
    <row r="47" spans="1:5">
      <c r="A47" s="10" t="s">
        <v>1</v>
      </c>
      <c r="B47" s="11">
        <v>0</v>
      </c>
      <c r="C47" s="11">
        <v>1</v>
      </c>
      <c r="D47" s="11">
        <v>2</v>
      </c>
      <c r="E47" s="11">
        <v>3</v>
      </c>
    </row>
    <row r="48" spans="1:5">
      <c r="A48" s="1" t="s">
        <v>18</v>
      </c>
      <c r="B48" s="3">
        <v>88000</v>
      </c>
      <c r="C48" s="3"/>
      <c r="D48" s="3"/>
      <c r="E48" s="3"/>
    </row>
    <row r="49" spans="1:7">
      <c r="A49" s="1" t="s">
        <v>20</v>
      </c>
      <c r="B49" s="3"/>
      <c r="C49" s="3">
        <f>C29</f>
        <v>20000</v>
      </c>
      <c r="D49" s="3">
        <f t="shared" ref="D49:E49" si="7">D29</f>
        <v>20000</v>
      </c>
      <c r="E49" s="3">
        <f t="shared" si="7"/>
        <v>20000</v>
      </c>
    </row>
    <row r="50" spans="1:7">
      <c r="A50" s="1" t="s">
        <v>7</v>
      </c>
      <c r="B50" s="3"/>
      <c r="C50" s="3">
        <f>C49*-0.2</f>
        <v>-4000</v>
      </c>
      <c r="D50" s="3">
        <f t="shared" ref="D50" si="8">D49*-0.2</f>
        <v>-4000</v>
      </c>
      <c r="E50" s="3">
        <f t="shared" ref="E50" si="9">E49*-0.2</f>
        <v>-4000</v>
      </c>
    </row>
    <row r="51" spans="1:7" ht="13.5" thickBot="1">
      <c r="A51" s="26" t="s">
        <v>21</v>
      </c>
      <c r="B51" s="9">
        <f>SUM(B48:B50)</f>
        <v>88000</v>
      </c>
      <c r="C51" s="9">
        <f t="shared" ref="C51" si="10">SUM(C48:C50)</f>
        <v>16000</v>
      </c>
      <c r="D51" s="9">
        <f t="shared" ref="D51" si="11">SUM(D48:D50)</f>
        <v>16000</v>
      </c>
      <c r="E51" s="9">
        <f t="shared" ref="E51" si="12">SUM(E48:E50)</f>
        <v>16000</v>
      </c>
    </row>
    <row r="52" spans="1:7">
      <c r="B52" s="3"/>
      <c r="C52" s="3"/>
      <c r="D52" s="3"/>
      <c r="E52" s="3"/>
    </row>
    <row r="54" spans="1:7" ht="13.5" thickBot="1">
      <c r="A54" s="26" t="s">
        <v>22</v>
      </c>
      <c r="B54" s="9">
        <f>NPV(B6,C51:E51)+B51</f>
        <v>131571.96846992767</v>
      </c>
    </row>
    <row r="56" spans="1:7" ht="15" customHeight="1">
      <c r="A56" s="47" t="s">
        <v>30</v>
      </c>
      <c r="B56" s="47"/>
      <c r="C56" s="47"/>
      <c r="D56" s="47"/>
      <c r="E56" s="47"/>
      <c r="F56" s="47"/>
      <c r="G56" s="47"/>
    </row>
    <row r="57" spans="1:7">
      <c r="A57" s="47"/>
      <c r="B57" s="47"/>
      <c r="C57" s="47"/>
      <c r="D57" s="47"/>
      <c r="E57" s="47"/>
      <c r="F57" s="47"/>
      <c r="G57" s="47"/>
    </row>
    <row r="60" spans="1:7">
      <c r="A60" s="35" t="s">
        <v>32</v>
      </c>
      <c r="B60" s="36"/>
      <c r="C60" s="36"/>
      <c r="D60" s="36"/>
      <c r="E60" s="36"/>
    </row>
    <row r="61" spans="1:7">
      <c r="A61" s="8" t="s">
        <v>28</v>
      </c>
    </row>
    <row r="62" spans="1:7">
      <c r="A62" s="1" t="s">
        <v>33</v>
      </c>
      <c r="B62" s="14">
        <v>1</v>
      </c>
    </row>
    <row r="63" spans="1:7">
      <c r="A63" s="1" t="s">
        <v>34</v>
      </c>
      <c r="B63" s="15">
        <v>0.05</v>
      </c>
    </row>
    <row r="64" spans="1:7">
      <c r="A64" s="1" t="s">
        <v>35</v>
      </c>
      <c r="B64" s="15">
        <v>0.11</v>
      </c>
    </row>
    <row r="65" spans="1:2" ht="13.5" thickBot="1">
      <c r="A65" s="26" t="s">
        <v>38</v>
      </c>
      <c r="B65" s="17">
        <f>(B62*(1+B63))/(B64-B63)</f>
        <v>17.5</v>
      </c>
    </row>
    <row r="66" spans="1:2">
      <c r="B66" s="14"/>
    </row>
    <row r="67" spans="1:2">
      <c r="A67" s="1" t="s">
        <v>36</v>
      </c>
      <c r="B67" s="14">
        <v>20</v>
      </c>
    </row>
    <row r="68" spans="1:2">
      <c r="A68" s="8" t="s">
        <v>37</v>
      </c>
      <c r="B68" s="16" t="str">
        <f>IF(B67&gt;B65,"Over","Under")</f>
        <v>Over</v>
      </c>
    </row>
    <row r="69" spans="1:2">
      <c r="A69" s="13" t="s">
        <v>39</v>
      </c>
      <c r="B69" s="18" t="str">
        <f>IF(B68="Over","Sell","Buy")</f>
        <v>Sell</v>
      </c>
    </row>
    <row r="72" spans="1:2">
      <c r="A72" s="1" t="s">
        <v>29</v>
      </c>
    </row>
    <row r="74" spans="1:2">
      <c r="A74" s="1" t="s">
        <v>33</v>
      </c>
      <c r="B74" s="14">
        <v>1</v>
      </c>
    </row>
    <row r="75" spans="1:2">
      <c r="A75" s="1" t="s">
        <v>34</v>
      </c>
      <c r="B75" s="15">
        <f>5%*2</f>
        <v>0.1</v>
      </c>
    </row>
    <row r="76" spans="1:2">
      <c r="A76" s="1" t="s">
        <v>35</v>
      </c>
      <c r="B76" s="15">
        <v>0.11</v>
      </c>
    </row>
    <row r="77" spans="1:2" ht="13.5" thickBot="1">
      <c r="A77" s="26" t="s">
        <v>38</v>
      </c>
      <c r="B77" s="17">
        <f>(B74*(1+B75))/(B76-B75)</f>
        <v>110.00000000000006</v>
      </c>
    </row>
    <row r="78" spans="1:2">
      <c r="B78" s="14"/>
    </row>
    <row r="79" spans="1:2">
      <c r="A79" s="1" t="s">
        <v>36</v>
      </c>
      <c r="B79" s="14">
        <v>25</v>
      </c>
    </row>
    <row r="80" spans="1:2">
      <c r="A80" s="8" t="s">
        <v>37</v>
      </c>
      <c r="B80" s="16" t="str">
        <f>IF(B79&gt;B77,"Over","Under")</f>
        <v>Under</v>
      </c>
    </row>
    <row r="81" spans="1:5">
      <c r="A81" s="13" t="s">
        <v>39</v>
      </c>
      <c r="B81" s="18" t="str">
        <f>IF(B80="Over","Sell","Buy")</f>
        <v>Buy</v>
      </c>
    </row>
    <row r="85" spans="1:5">
      <c r="A85" s="35" t="s">
        <v>40</v>
      </c>
      <c r="B85" s="36"/>
      <c r="C85" s="36"/>
      <c r="D85" s="36"/>
      <c r="E85" s="36"/>
    </row>
    <row r="86" spans="1:5">
      <c r="A86" s="8" t="s">
        <v>28</v>
      </c>
    </row>
    <row r="87" spans="1:5" ht="21" customHeight="1">
      <c r="A87" s="19" t="s">
        <v>41</v>
      </c>
      <c r="B87" s="19" t="s">
        <v>42</v>
      </c>
      <c r="C87" s="19" t="s">
        <v>43</v>
      </c>
    </row>
    <row r="88" spans="1:5">
      <c r="A88" s="1" t="s">
        <v>44</v>
      </c>
      <c r="B88" s="3">
        <v>4500000</v>
      </c>
      <c r="C88" s="2" t="s">
        <v>45</v>
      </c>
      <c r="E88" s="3">
        <v>1000000</v>
      </c>
    </row>
    <row r="89" spans="1:5">
      <c r="A89" s="1" t="s">
        <v>60</v>
      </c>
      <c r="B89" s="3">
        <f>500000*0.8</f>
        <v>400000</v>
      </c>
      <c r="C89" s="2" t="s">
        <v>45</v>
      </c>
    </row>
    <row r="90" spans="1:5">
      <c r="A90" s="1" t="s">
        <v>46</v>
      </c>
      <c r="B90" s="3">
        <v>200000</v>
      </c>
      <c r="C90" s="2" t="s">
        <v>47</v>
      </c>
    </row>
    <row r="92" spans="1:5">
      <c r="A92" s="1" t="s">
        <v>48</v>
      </c>
      <c r="B92" s="3">
        <f>SUM(B88:B89)</f>
        <v>4900000</v>
      </c>
    </row>
    <row r="93" spans="1:5">
      <c r="A93" s="1" t="s">
        <v>3</v>
      </c>
      <c r="B93" s="1">
        <v>5</v>
      </c>
    </row>
    <row r="94" spans="1:5">
      <c r="A94" s="1" t="s">
        <v>50</v>
      </c>
      <c r="B94" s="4">
        <f>B92*5%</f>
        <v>245000</v>
      </c>
    </row>
    <row r="95" spans="1:5">
      <c r="A95" s="1" t="s">
        <v>4</v>
      </c>
      <c r="B95" s="4">
        <f>(B92-B94)/B93</f>
        <v>931000</v>
      </c>
    </row>
    <row r="96" spans="1:5">
      <c r="A96" s="1" t="s">
        <v>57</v>
      </c>
      <c r="B96" s="4">
        <f>B95*B93</f>
        <v>4655000</v>
      </c>
    </row>
    <row r="98" spans="1:7">
      <c r="A98" s="1" t="s">
        <v>49</v>
      </c>
      <c r="B98" s="20">
        <v>300000</v>
      </c>
    </row>
    <row r="101" spans="1:7">
      <c r="A101" s="19" t="s">
        <v>1</v>
      </c>
      <c r="B101" s="19">
        <v>0</v>
      </c>
      <c r="C101" s="19">
        <v>1</v>
      </c>
      <c r="D101" s="19">
        <v>2</v>
      </c>
      <c r="E101" s="19">
        <v>3</v>
      </c>
      <c r="F101" s="19">
        <v>4</v>
      </c>
      <c r="G101" s="19">
        <v>5</v>
      </c>
    </row>
    <row r="102" spans="1:7">
      <c r="A102" s="1" t="s">
        <v>53</v>
      </c>
      <c r="B102" s="4">
        <f>-B92</f>
        <v>-4900000</v>
      </c>
    </row>
    <row r="103" spans="1:7">
      <c r="A103" s="1" t="s">
        <v>54</v>
      </c>
      <c r="B103" s="21">
        <f>-B98</f>
        <v>-300000</v>
      </c>
      <c r="G103" s="21">
        <f>-B103</f>
        <v>300000</v>
      </c>
    </row>
    <row r="104" spans="1:7">
      <c r="A104" s="1" t="s">
        <v>55</v>
      </c>
      <c r="B104" s="21"/>
      <c r="G104" s="21">
        <f>B94</f>
        <v>245000</v>
      </c>
    </row>
    <row r="105" spans="1:7">
      <c r="A105" s="1" t="s">
        <v>51</v>
      </c>
      <c r="C105" s="3">
        <v>6000000</v>
      </c>
      <c r="D105" s="3">
        <v>6000000</v>
      </c>
      <c r="E105" s="3">
        <v>6000000</v>
      </c>
      <c r="F105" s="3">
        <v>6000000</v>
      </c>
      <c r="G105" s="3">
        <v>6000000</v>
      </c>
    </row>
    <row r="106" spans="1:7">
      <c r="A106" s="1" t="s">
        <v>52</v>
      </c>
      <c r="C106" s="3">
        <v>-1500000</v>
      </c>
      <c r="D106" s="3">
        <f>C106</f>
        <v>-1500000</v>
      </c>
      <c r="E106" s="3">
        <f t="shared" ref="E106:G106" si="13">D106</f>
        <v>-1500000</v>
      </c>
      <c r="F106" s="3">
        <f t="shared" si="13"/>
        <v>-1500000</v>
      </c>
      <c r="G106" s="3">
        <f t="shared" si="13"/>
        <v>-1500000</v>
      </c>
    </row>
    <row r="107" spans="1:7">
      <c r="A107" s="1" t="s">
        <v>9</v>
      </c>
      <c r="C107" s="3">
        <f>-B95</f>
        <v>-931000</v>
      </c>
      <c r="D107" s="3">
        <f>C107</f>
        <v>-931000</v>
      </c>
      <c r="E107" s="3">
        <f t="shared" ref="E107:G107" si="14">D107</f>
        <v>-931000</v>
      </c>
      <c r="F107" s="3">
        <f t="shared" si="14"/>
        <v>-931000</v>
      </c>
      <c r="G107" s="3">
        <f t="shared" si="14"/>
        <v>-931000</v>
      </c>
    </row>
    <row r="108" spans="1:7">
      <c r="A108" s="1" t="s">
        <v>56</v>
      </c>
      <c r="G108" s="6">
        <f>B92-B96-B94</f>
        <v>0</v>
      </c>
    </row>
    <row r="109" spans="1:7">
      <c r="A109" s="1" t="s">
        <v>10</v>
      </c>
      <c r="C109" s="4">
        <f>SUM(C105:C108)</f>
        <v>3569000</v>
      </c>
      <c r="D109" s="4">
        <f t="shared" ref="D109:G109" si="15">SUM(D105:D108)</f>
        <v>3569000</v>
      </c>
      <c r="E109" s="4">
        <f t="shared" si="15"/>
        <v>3569000</v>
      </c>
      <c r="F109" s="4">
        <f t="shared" si="15"/>
        <v>3569000</v>
      </c>
      <c r="G109" s="4">
        <f t="shared" si="15"/>
        <v>3569000</v>
      </c>
    </row>
    <row r="110" spans="1:7">
      <c r="A110" s="1" t="s">
        <v>58</v>
      </c>
      <c r="C110" s="21">
        <f>-C109*0.2</f>
        <v>-713800</v>
      </c>
      <c r="D110" s="21">
        <f t="shared" ref="D110:G110" si="16">-D109*0.2</f>
        <v>-713800</v>
      </c>
      <c r="E110" s="21">
        <f t="shared" si="16"/>
        <v>-713800</v>
      </c>
      <c r="F110" s="21">
        <f t="shared" si="16"/>
        <v>-713800</v>
      </c>
      <c r="G110" s="21">
        <f t="shared" si="16"/>
        <v>-713800</v>
      </c>
    </row>
    <row r="111" spans="1:7" ht="13.5" thickBot="1">
      <c r="A111" s="24" t="s">
        <v>59</v>
      </c>
      <c r="B111" s="24"/>
      <c r="C111" s="25">
        <f>C109+C110-C107</f>
        <v>3786200</v>
      </c>
      <c r="D111" s="25">
        <f t="shared" ref="D111:G111" si="17">D109+D110-D107</f>
        <v>3786200</v>
      </c>
      <c r="E111" s="25">
        <f t="shared" si="17"/>
        <v>3786200</v>
      </c>
      <c r="F111" s="25">
        <f t="shared" si="17"/>
        <v>3786200</v>
      </c>
      <c r="G111" s="25">
        <f t="shared" si="17"/>
        <v>3786200</v>
      </c>
    </row>
    <row r="113" spans="1:7">
      <c r="A113" s="8" t="s">
        <v>29</v>
      </c>
      <c r="C113" s="4"/>
      <c r="D113" s="21"/>
    </row>
    <row r="114" spans="1:7">
      <c r="A114" s="1" t="s">
        <v>4</v>
      </c>
      <c r="B114" s="4">
        <f>B95</f>
        <v>931000</v>
      </c>
      <c r="C114" s="4"/>
    </row>
    <row r="115" spans="1:7">
      <c r="A115" s="1" t="s">
        <v>62</v>
      </c>
      <c r="B115" s="7">
        <v>0.2</v>
      </c>
    </row>
    <row r="116" spans="1:7">
      <c r="A116" s="1" t="s">
        <v>61</v>
      </c>
      <c r="B116" s="4">
        <f>-B114*B115</f>
        <v>-186200</v>
      </c>
    </row>
    <row r="118" spans="1:7">
      <c r="A118" s="48" t="s">
        <v>63</v>
      </c>
      <c r="B118" s="48"/>
      <c r="C118" s="48"/>
      <c r="D118" s="48"/>
      <c r="E118" s="48"/>
      <c r="F118" s="48"/>
      <c r="G118" s="48"/>
    </row>
    <row r="119" spans="1:7">
      <c r="A119" s="48"/>
      <c r="B119" s="48"/>
      <c r="C119" s="48"/>
      <c r="D119" s="48"/>
      <c r="E119" s="48"/>
      <c r="F119" s="48"/>
      <c r="G119" s="48"/>
    </row>
    <row r="120" spans="1:7">
      <c r="A120" s="48"/>
      <c r="B120" s="48"/>
      <c r="C120" s="48"/>
      <c r="D120" s="48"/>
      <c r="E120" s="48"/>
      <c r="F120" s="48"/>
      <c r="G120" s="48"/>
    </row>
    <row r="123" spans="1:7">
      <c r="A123" s="8" t="s">
        <v>64</v>
      </c>
    </row>
    <row r="124" spans="1:7" ht="20.25" customHeight="1">
      <c r="A124" s="48" t="s">
        <v>78</v>
      </c>
      <c r="B124" s="48"/>
      <c r="C124" s="48"/>
      <c r="D124" s="48"/>
      <c r="E124" s="48"/>
      <c r="F124" s="48"/>
      <c r="G124" s="48"/>
    </row>
    <row r="125" spans="1:7" ht="20.25" customHeight="1">
      <c r="A125" s="48"/>
      <c r="B125" s="48"/>
      <c r="C125" s="48"/>
      <c r="D125" s="48"/>
      <c r="E125" s="48"/>
      <c r="F125" s="48"/>
      <c r="G125" s="48"/>
    </row>
    <row r="126" spans="1:7" ht="20.25" customHeight="1">
      <c r="A126" s="48"/>
      <c r="B126" s="48"/>
      <c r="C126" s="48"/>
      <c r="D126" s="48"/>
      <c r="E126" s="48"/>
      <c r="F126" s="48"/>
      <c r="G126" s="48"/>
    </row>
    <row r="128" spans="1:7">
      <c r="A128" s="8" t="s">
        <v>65</v>
      </c>
    </row>
    <row r="129" spans="1:7" ht="24" customHeight="1">
      <c r="A129" s="48" t="s">
        <v>69</v>
      </c>
      <c r="B129" s="48"/>
      <c r="C129" s="48"/>
      <c r="D129" s="48"/>
      <c r="E129" s="48"/>
      <c r="F129" s="48"/>
      <c r="G129" s="48"/>
    </row>
    <row r="130" spans="1:7" ht="24" customHeight="1">
      <c r="A130" s="48"/>
      <c r="B130" s="48"/>
      <c r="C130" s="48"/>
      <c r="D130" s="48"/>
      <c r="E130" s="48"/>
      <c r="F130" s="48"/>
      <c r="G130" s="48"/>
    </row>
    <row r="131" spans="1:7" ht="24" customHeight="1">
      <c r="A131" s="48"/>
      <c r="B131" s="48"/>
      <c r="C131" s="48"/>
      <c r="D131" s="48"/>
      <c r="E131" s="48"/>
      <c r="F131" s="48"/>
      <c r="G131" s="48"/>
    </row>
    <row r="133" spans="1:7" ht="25.5">
      <c r="A133" s="22" t="s">
        <v>70</v>
      </c>
      <c r="B133" s="22" t="s">
        <v>67</v>
      </c>
      <c r="C133" s="22" t="s">
        <v>68</v>
      </c>
    </row>
    <row r="134" spans="1:7">
      <c r="A134" s="1" t="s">
        <v>54</v>
      </c>
      <c r="B134" s="3">
        <f>G103</f>
        <v>300000</v>
      </c>
      <c r="C134" s="3">
        <f>B134</f>
        <v>300000</v>
      </c>
    </row>
    <row r="135" spans="1:7">
      <c r="A135" s="1" t="s">
        <v>55</v>
      </c>
      <c r="B135" s="3">
        <f t="shared" ref="B135:B139" si="18">G104</f>
        <v>245000</v>
      </c>
      <c r="C135" s="3">
        <v>200000</v>
      </c>
    </row>
    <row r="136" spans="1:7">
      <c r="A136" s="1" t="s">
        <v>51</v>
      </c>
      <c r="B136" s="3">
        <f t="shared" si="18"/>
        <v>6000000</v>
      </c>
      <c r="C136" s="3">
        <f>B136</f>
        <v>6000000</v>
      </c>
    </row>
    <row r="137" spans="1:7">
      <c r="A137" s="1" t="s">
        <v>52</v>
      </c>
      <c r="B137" s="3">
        <f t="shared" si="18"/>
        <v>-1500000</v>
      </c>
      <c r="C137" s="3">
        <f>B137</f>
        <v>-1500000</v>
      </c>
    </row>
    <row r="138" spans="1:7">
      <c r="A138" s="1" t="s">
        <v>9</v>
      </c>
      <c r="B138" s="3">
        <f t="shared" si="18"/>
        <v>-931000</v>
      </c>
      <c r="C138" s="3">
        <f>B138</f>
        <v>-931000</v>
      </c>
    </row>
    <row r="139" spans="1:7">
      <c r="A139" s="1" t="s">
        <v>56</v>
      </c>
      <c r="B139" s="3">
        <f t="shared" si="18"/>
        <v>0</v>
      </c>
      <c r="C139" s="3">
        <v>-45000</v>
      </c>
    </row>
    <row r="140" spans="1:7">
      <c r="A140" s="1" t="s">
        <v>10</v>
      </c>
      <c r="B140" s="3">
        <f>SUM(B136:B139)</f>
        <v>3569000</v>
      </c>
      <c r="C140" s="3">
        <f>SUM(C136:C139)</f>
        <v>3524000</v>
      </c>
    </row>
    <row r="141" spans="1:7">
      <c r="A141" s="1" t="s">
        <v>58</v>
      </c>
      <c r="B141" s="3">
        <f>-B140*0.2</f>
        <v>-713800</v>
      </c>
      <c r="C141" s="3">
        <f>-C140*0.2</f>
        <v>-704800</v>
      </c>
    </row>
    <row r="142" spans="1:7" ht="13.5" thickBot="1">
      <c r="A142" s="24" t="s">
        <v>66</v>
      </c>
      <c r="B142" s="23">
        <f>SUM(B140:B141)-B138+B134+B135</f>
        <v>4331200</v>
      </c>
      <c r="C142" s="23">
        <f>SUM(C140:C141)-C138+C134+C135</f>
        <v>4250200</v>
      </c>
    </row>
    <row r="145" spans="1:7">
      <c r="A145" s="8" t="s">
        <v>71</v>
      </c>
    </row>
    <row r="146" spans="1:7" ht="30" customHeight="1">
      <c r="A146" s="48" t="s">
        <v>77</v>
      </c>
      <c r="B146" s="48"/>
      <c r="C146" s="48"/>
      <c r="D146" s="48"/>
      <c r="E146" s="48"/>
      <c r="F146" s="48"/>
      <c r="G146" s="48"/>
    </row>
    <row r="147" spans="1:7" ht="30" customHeight="1">
      <c r="A147" s="48"/>
      <c r="B147" s="48"/>
      <c r="C147" s="48"/>
      <c r="D147" s="48"/>
      <c r="E147" s="48"/>
      <c r="F147" s="48"/>
      <c r="G147" s="48"/>
    </row>
    <row r="148" spans="1:7" ht="30" customHeight="1">
      <c r="A148" s="48"/>
      <c r="B148" s="48"/>
      <c r="C148" s="48"/>
      <c r="D148" s="48"/>
      <c r="E148" s="48"/>
      <c r="F148" s="48"/>
      <c r="G148" s="48"/>
    </row>
    <row r="150" spans="1:7">
      <c r="A150" s="19" t="s">
        <v>1</v>
      </c>
      <c r="B150" s="19">
        <v>0</v>
      </c>
      <c r="C150" s="19">
        <v>1</v>
      </c>
      <c r="D150" s="19">
        <v>2</v>
      </c>
      <c r="E150" s="19">
        <v>3</v>
      </c>
      <c r="F150" s="19">
        <v>4</v>
      </c>
      <c r="G150" s="19">
        <v>5</v>
      </c>
    </row>
    <row r="151" spans="1:7">
      <c r="A151" s="1" t="s">
        <v>53</v>
      </c>
      <c r="B151" s="3">
        <f>B102</f>
        <v>-4900000</v>
      </c>
      <c r="C151" s="3">
        <f t="shared" ref="C151:G151" si="19">C102</f>
        <v>0</v>
      </c>
      <c r="D151" s="3">
        <f t="shared" si="19"/>
        <v>0</v>
      </c>
      <c r="E151" s="3">
        <f t="shared" si="19"/>
        <v>0</v>
      </c>
      <c r="F151" s="3">
        <f t="shared" si="19"/>
        <v>0</v>
      </c>
      <c r="G151" s="3">
        <f t="shared" si="19"/>
        <v>0</v>
      </c>
    </row>
    <row r="152" spans="1:7">
      <c r="A152" s="1" t="s">
        <v>54</v>
      </c>
      <c r="B152" s="3">
        <f t="shared" ref="B152:G152" si="20">B103</f>
        <v>-300000</v>
      </c>
      <c r="C152" s="3">
        <f t="shared" si="20"/>
        <v>0</v>
      </c>
      <c r="D152" s="3">
        <f t="shared" si="20"/>
        <v>0</v>
      </c>
      <c r="E152" s="3">
        <f t="shared" si="20"/>
        <v>0</v>
      </c>
      <c r="F152" s="3">
        <f t="shared" si="20"/>
        <v>0</v>
      </c>
      <c r="G152" s="3">
        <f t="shared" si="20"/>
        <v>300000</v>
      </c>
    </row>
    <row r="153" spans="1:7">
      <c r="A153" s="1" t="s">
        <v>55</v>
      </c>
      <c r="B153" s="3">
        <f t="shared" ref="B153:G153" si="21">B104</f>
        <v>0</v>
      </c>
      <c r="C153" s="3">
        <f t="shared" si="21"/>
        <v>0</v>
      </c>
      <c r="D153" s="3">
        <f t="shared" si="21"/>
        <v>0</v>
      </c>
      <c r="E153" s="3">
        <f t="shared" si="21"/>
        <v>0</v>
      </c>
      <c r="F153" s="3">
        <f t="shared" si="21"/>
        <v>0</v>
      </c>
      <c r="G153" s="3">
        <f t="shared" si="21"/>
        <v>245000</v>
      </c>
    </row>
    <row r="154" spans="1:7">
      <c r="A154" s="1" t="s">
        <v>51</v>
      </c>
      <c r="B154" s="3">
        <f t="shared" ref="B154:G154" si="22">B105</f>
        <v>0</v>
      </c>
      <c r="C154" s="3">
        <f t="shared" si="22"/>
        <v>6000000</v>
      </c>
      <c r="D154" s="3">
        <f t="shared" si="22"/>
        <v>6000000</v>
      </c>
      <c r="E154" s="3">
        <f t="shared" si="22"/>
        <v>6000000</v>
      </c>
      <c r="F154" s="3">
        <f t="shared" si="22"/>
        <v>6000000</v>
      </c>
      <c r="G154" s="3">
        <f t="shared" si="22"/>
        <v>6000000</v>
      </c>
    </row>
    <row r="155" spans="1:7">
      <c r="A155" s="1" t="s">
        <v>52</v>
      </c>
      <c r="B155" s="3">
        <f t="shared" ref="B155:G155" si="23">B106</f>
        <v>0</v>
      </c>
      <c r="C155" s="3">
        <f t="shared" si="23"/>
        <v>-1500000</v>
      </c>
      <c r="D155" s="3">
        <f t="shared" si="23"/>
        <v>-1500000</v>
      </c>
      <c r="E155" s="3">
        <f t="shared" si="23"/>
        <v>-1500000</v>
      </c>
      <c r="F155" s="3">
        <f t="shared" si="23"/>
        <v>-1500000</v>
      </c>
      <c r="G155" s="3">
        <f t="shared" si="23"/>
        <v>-1500000</v>
      </c>
    </row>
    <row r="156" spans="1:7">
      <c r="A156" s="1" t="s">
        <v>9</v>
      </c>
      <c r="B156" s="3">
        <f t="shared" ref="B156:G156" si="24">B107</f>
        <v>0</v>
      </c>
      <c r="C156" s="3">
        <f t="shared" si="24"/>
        <v>-931000</v>
      </c>
      <c r="D156" s="3">
        <f t="shared" si="24"/>
        <v>-931000</v>
      </c>
      <c r="E156" s="3">
        <f t="shared" si="24"/>
        <v>-931000</v>
      </c>
      <c r="F156" s="3">
        <f t="shared" si="24"/>
        <v>-931000</v>
      </c>
      <c r="G156" s="3">
        <f t="shared" si="24"/>
        <v>-931000</v>
      </c>
    </row>
    <row r="157" spans="1:7">
      <c r="A157" s="1" t="s">
        <v>56</v>
      </c>
      <c r="B157" s="3">
        <f t="shared" ref="B157:G157" si="25">B108</f>
        <v>0</v>
      </c>
      <c r="C157" s="3">
        <f t="shared" si="25"/>
        <v>0</v>
      </c>
      <c r="D157" s="3">
        <f t="shared" si="25"/>
        <v>0</v>
      </c>
      <c r="E157" s="3">
        <f t="shared" si="25"/>
        <v>0</v>
      </c>
      <c r="F157" s="3">
        <f t="shared" si="25"/>
        <v>0</v>
      </c>
      <c r="G157" s="3">
        <f t="shared" si="25"/>
        <v>0</v>
      </c>
    </row>
    <row r="158" spans="1:7">
      <c r="A158" s="1" t="s">
        <v>10</v>
      </c>
      <c r="B158" s="3"/>
      <c r="C158" s="3">
        <f>SUM(C154:C157)</f>
        <v>3569000</v>
      </c>
      <c r="D158" s="3">
        <f t="shared" ref="D158" si="26">SUM(D154:D157)</f>
        <v>3569000</v>
      </c>
      <c r="E158" s="3">
        <f t="shared" ref="E158" si="27">SUM(E154:E157)</f>
        <v>3569000</v>
      </c>
      <c r="F158" s="3">
        <f t="shared" ref="F158" si="28">SUM(F154:F157)</f>
        <v>3569000</v>
      </c>
      <c r="G158" s="3">
        <f t="shared" ref="G158" si="29">SUM(G154:G157)</f>
        <v>3569000</v>
      </c>
    </row>
    <row r="159" spans="1:7">
      <c r="A159" s="1" t="s">
        <v>58</v>
      </c>
      <c r="B159" s="3"/>
      <c r="C159" s="3">
        <f>-C158*0.2</f>
        <v>-713800</v>
      </c>
      <c r="D159" s="3">
        <f t="shared" ref="D159" si="30">-D158*0.2</f>
        <v>-713800</v>
      </c>
      <c r="E159" s="3">
        <f t="shared" ref="E159" si="31">-E158*0.2</f>
        <v>-713800</v>
      </c>
      <c r="F159" s="3">
        <f t="shared" ref="F159" si="32">-F158*0.2</f>
        <v>-713800</v>
      </c>
      <c r="G159" s="3">
        <f t="shared" ref="G159" si="33">-G158*0.2</f>
        <v>-713800</v>
      </c>
    </row>
    <row r="160" spans="1:7">
      <c r="A160" s="28" t="s">
        <v>59</v>
      </c>
      <c r="B160" s="30"/>
      <c r="C160" s="30">
        <f>C158+C159-C156</f>
        <v>3786200</v>
      </c>
      <c r="D160" s="30">
        <f t="shared" ref="D160" si="34">D158+D159-D156</f>
        <v>3786200</v>
      </c>
      <c r="E160" s="30">
        <f t="shared" ref="E160" si="35">E158+E159-E156</f>
        <v>3786200</v>
      </c>
      <c r="F160" s="30">
        <f t="shared" ref="F160" si="36">F158+F159-F156</f>
        <v>3786200</v>
      </c>
      <c r="G160" s="30">
        <f t="shared" ref="G160" si="37">G158+G159-G156</f>
        <v>3786200</v>
      </c>
    </row>
    <row r="161" spans="1:7" ht="13.5" thickBot="1">
      <c r="A161" s="24" t="s">
        <v>72</v>
      </c>
      <c r="B161" s="23">
        <f>SUM(B160, B151:B153)</f>
        <v>-5200000</v>
      </c>
      <c r="C161" s="23">
        <f t="shared" ref="C161:G161" si="38">SUM(C160, C151:C153)</f>
        <v>3786200</v>
      </c>
      <c r="D161" s="23">
        <f t="shared" si="38"/>
        <v>3786200</v>
      </c>
      <c r="E161" s="23">
        <f t="shared" si="38"/>
        <v>3786200</v>
      </c>
      <c r="F161" s="23">
        <f t="shared" si="38"/>
        <v>3786200</v>
      </c>
      <c r="G161" s="23">
        <f t="shared" si="38"/>
        <v>4331200</v>
      </c>
    </row>
    <row r="163" spans="1:7">
      <c r="A163" s="1" t="s">
        <v>73</v>
      </c>
      <c r="B163" s="7">
        <v>0.1</v>
      </c>
    </row>
    <row r="164" spans="1:7">
      <c r="A164" s="1" t="s">
        <v>74</v>
      </c>
      <c r="B164" s="7">
        <v>0.02</v>
      </c>
    </row>
    <row r="165" spans="1:7" ht="13.5" thickBot="1">
      <c r="A165" s="26" t="s">
        <v>75</v>
      </c>
      <c r="B165" s="29">
        <f>SUM(B163:B164)</f>
        <v>0.12000000000000001</v>
      </c>
    </row>
    <row r="166" spans="1:7" ht="13.5" thickBot="1"/>
    <row r="167" spans="1:7">
      <c r="A167" s="31" t="s">
        <v>8</v>
      </c>
      <c r="B167" s="32">
        <f>NPV(B165,C161:G161)+B161</f>
        <v>8757651.293685291</v>
      </c>
    </row>
    <row r="168" spans="1:7" ht="13.5" thickBot="1">
      <c r="A168" s="33" t="s">
        <v>76</v>
      </c>
      <c r="B168" s="34">
        <f>IRR(B161:G161)</f>
        <v>0.67885778268034436</v>
      </c>
    </row>
    <row r="172" spans="1:7" ht="24" thickBot="1">
      <c r="A172" s="37"/>
    </row>
    <row r="173" spans="1:7" ht="22.5" customHeight="1">
      <c r="A173" s="38" t="s">
        <v>79</v>
      </c>
      <c r="B173" s="39"/>
      <c r="C173" s="39"/>
      <c r="D173" s="39"/>
      <c r="E173" s="39"/>
      <c r="F173" s="39"/>
      <c r="G173" s="40"/>
    </row>
    <row r="174" spans="1:7" ht="22.5" customHeight="1">
      <c r="A174" s="41"/>
      <c r="B174" s="42"/>
      <c r="C174" s="42"/>
      <c r="D174" s="42"/>
      <c r="E174" s="42"/>
      <c r="F174" s="42"/>
      <c r="G174" s="43"/>
    </row>
    <row r="175" spans="1:7" ht="22.5" customHeight="1">
      <c r="A175" s="41"/>
      <c r="B175" s="42"/>
      <c r="C175" s="42"/>
      <c r="D175" s="42"/>
      <c r="E175" s="42"/>
      <c r="F175" s="42"/>
      <c r="G175" s="43"/>
    </row>
    <row r="176" spans="1:7" ht="22.5" customHeight="1" thickBot="1">
      <c r="A176" s="44"/>
      <c r="B176" s="45"/>
      <c r="C176" s="45"/>
      <c r="D176" s="45"/>
      <c r="E176" s="45"/>
      <c r="F176" s="45"/>
      <c r="G176" s="46"/>
    </row>
    <row r="177" ht="20.25" customHeight="1"/>
  </sheetData>
  <mergeCells count="6">
    <mergeCell ref="A173:G176"/>
    <mergeCell ref="A56:G57"/>
    <mergeCell ref="A118:G120"/>
    <mergeCell ref="A124:G126"/>
    <mergeCell ref="A129:G131"/>
    <mergeCell ref="A146:G148"/>
  </mergeCells>
  <pageMargins left="0.7" right="0.7" top="0.75" bottom="0.75" header="0.3" footer="0.3"/>
  <pageSetup orientation="portrait" r:id="rId1"/>
  <ignoredErrors>
    <ignoredError sqref="B5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2021-04-05T09:48:25Z</dcterms:modified>
</cp:coreProperties>
</file>