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4" r:id="rId1"/>
  </sheets>
  <calcPr calcId="144525"/>
</workbook>
</file>

<file path=xl/calcChain.xml><?xml version="1.0" encoding="utf-8"?>
<calcChain xmlns="http://schemas.openxmlformats.org/spreadsheetml/2006/main">
  <c r="B148" i="4" l="1"/>
  <c r="B146" i="4"/>
  <c r="B136" i="4"/>
  <c r="B135" i="4"/>
  <c r="C123" i="4"/>
  <c r="B125" i="4" s="1"/>
  <c r="C122" i="4"/>
  <c r="B102" i="4"/>
  <c r="D101" i="4"/>
  <c r="D102" i="4" s="1"/>
  <c r="C101" i="4"/>
  <c r="C102" i="4" s="1"/>
  <c r="F100" i="4"/>
  <c r="H95" i="4"/>
  <c r="J95" i="4"/>
  <c r="F95" i="4"/>
  <c r="D95" i="4"/>
  <c r="C87" i="4"/>
  <c r="C88" i="4" s="1"/>
  <c r="E77" i="4"/>
  <c r="B71" i="4"/>
  <c r="C71" i="4" s="1"/>
  <c r="D71" i="4" s="1"/>
  <c r="E71" i="4" s="1"/>
  <c r="B55" i="4"/>
  <c r="C43" i="4"/>
  <c r="C44" i="4" s="1"/>
  <c r="B44" i="4"/>
  <c r="D44" i="4" s="1"/>
  <c r="E44" i="4" s="1"/>
  <c r="B43" i="4"/>
  <c r="D43" i="4" s="1"/>
  <c r="E43" i="4" s="1"/>
  <c r="B42" i="4"/>
  <c r="D42" i="4" s="1"/>
  <c r="B37" i="4"/>
  <c r="B38" i="4" s="1"/>
  <c r="B145" i="4" s="1"/>
  <c r="B147" i="4" s="1"/>
  <c r="D13" i="4"/>
  <c r="D12" i="4"/>
  <c r="D11" i="4"/>
  <c r="D7" i="4"/>
  <c r="D6" i="4"/>
  <c r="D5" i="4"/>
  <c r="B137" i="4" l="1"/>
  <c r="B126" i="4"/>
  <c r="B127" i="4" s="1"/>
  <c r="B149" i="4"/>
  <c r="E101" i="4"/>
  <c r="E102" i="4" s="1"/>
  <c r="B94" i="4"/>
  <c r="B96" i="4" s="1"/>
  <c r="B50" i="4"/>
  <c r="E42" i="4"/>
  <c r="F42" i="4" s="1"/>
  <c r="G42" i="4" s="1"/>
  <c r="D14" i="4"/>
  <c r="B49" i="4" s="1"/>
  <c r="D8" i="4"/>
  <c r="B48" i="4" s="1"/>
  <c r="F44" i="4"/>
  <c r="G44" i="4" s="1"/>
  <c r="F101" i="4" l="1"/>
  <c r="F102" i="4" s="1"/>
  <c r="D94" i="4"/>
  <c r="D96" i="4" s="1"/>
  <c r="B105" i="4" s="1"/>
  <c r="B107" i="4" s="1"/>
  <c r="B141" i="4"/>
  <c r="B142" i="4" s="1"/>
  <c r="J94" i="4"/>
  <c r="J96" i="4" s="1"/>
  <c r="E105" i="4" s="1"/>
  <c r="E107" i="4" s="1"/>
  <c r="F94" i="4"/>
  <c r="F96" i="4" s="1"/>
  <c r="C105" i="4" s="1"/>
  <c r="C107" i="4" s="1"/>
  <c r="H94" i="4"/>
  <c r="H96" i="4" s="1"/>
  <c r="D105" i="4" s="1"/>
  <c r="D106" i="4" s="1"/>
  <c r="B51" i="4"/>
  <c r="B115" i="4" s="1"/>
  <c r="F43" i="4"/>
  <c r="G43" i="4" s="1"/>
  <c r="B54" i="4" s="1"/>
  <c r="B56" i="4" s="1"/>
  <c r="B106" i="4" l="1"/>
  <c r="C106" i="4"/>
  <c r="E106" i="4"/>
  <c r="D107" i="4"/>
  <c r="B63" i="4"/>
  <c r="B57" i="4"/>
  <c r="B58" i="4" s="1"/>
  <c r="C63" i="4" l="1"/>
  <c r="B64" i="4"/>
  <c r="B65" i="4" s="1"/>
  <c r="D63" i="4" l="1"/>
  <c r="D64" i="4" s="1"/>
  <c r="C64" i="4"/>
  <c r="C65" i="4" s="1"/>
  <c r="D65" i="4" l="1"/>
  <c r="B70" i="4"/>
  <c r="B111" i="4" s="1"/>
  <c r="B113" i="4" l="1"/>
  <c r="B116" i="4"/>
  <c r="B76" i="4"/>
  <c r="B72" i="4"/>
  <c r="C70" i="4"/>
  <c r="C76" i="4" s="1"/>
  <c r="B77" i="4" l="1"/>
  <c r="D70" i="4"/>
  <c r="D76" i="4" s="1"/>
  <c r="C72" i="4"/>
  <c r="B78" i="4" l="1"/>
  <c r="B80" i="4" s="1"/>
  <c r="C79" i="4"/>
  <c r="C77" i="4"/>
  <c r="D72" i="4"/>
  <c r="E70" i="4"/>
  <c r="E76" i="4" s="1"/>
  <c r="C78" i="4" l="1"/>
  <c r="C80" i="4" s="1"/>
  <c r="D79" i="4"/>
  <c r="E78" i="4"/>
  <c r="D77" i="4"/>
  <c r="E72" i="4"/>
  <c r="D78" i="4" l="1"/>
  <c r="D80" i="4" s="1"/>
  <c r="E79" i="4"/>
  <c r="E80" i="4" s="1"/>
</calcChain>
</file>

<file path=xl/sharedStrings.xml><?xml version="1.0" encoding="utf-8"?>
<sst xmlns="http://schemas.openxmlformats.org/spreadsheetml/2006/main" count="170" uniqueCount="132">
  <si>
    <t>DM</t>
  </si>
  <si>
    <t>Rate</t>
  </si>
  <si>
    <t>DL</t>
  </si>
  <si>
    <t>Total</t>
  </si>
  <si>
    <t>Data</t>
  </si>
  <si>
    <t>Solution</t>
  </si>
  <si>
    <t>Units Sold</t>
  </si>
  <si>
    <t>Sales Budget</t>
  </si>
  <si>
    <t>Fixed Cost</t>
  </si>
  <si>
    <t xml:space="preserve">Sales </t>
  </si>
  <si>
    <t>Electricity</t>
  </si>
  <si>
    <t>Material</t>
  </si>
  <si>
    <t>Quantity per unit</t>
  </si>
  <si>
    <t>Cost</t>
  </si>
  <si>
    <t>Total per unit</t>
  </si>
  <si>
    <t>corn</t>
  </si>
  <si>
    <t>seasoning</t>
  </si>
  <si>
    <t>packaging</t>
  </si>
  <si>
    <t>Total cost</t>
  </si>
  <si>
    <t>Job description</t>
  </si>
  <si>
    <t>Hours per unit</t>
  </si>
  <si>
    <t>Processor</t>
  </si>
  <si>
    <t>Baker</t>
  </si>
  <si>
    <t>Packager</t>
  </si>
  <si>
    <t>Cost description</t>
  </si>
  <si>
    <t>Amount</t>
  </si>
  <si>
    <t>Indirect material</t>
  </si>
  <si>
    <t>Indirect labor</t>
  </si>
  <si>
    <t>Machine Maintenance</t>
  </si>
  <si>
    <t>Depreciation</t>
  </si>
  <si>
    <t>Quality testing</t>
  </si>
  <si>
    <t>Direcrt Labor Hours (Budget)</t>
  </si>
  <si>
    <t>Overhead Absortion Rate</t>
  </si>
  <si>
    <t>Month 1</t>
  </si>
  <si>
    <t>Month 2</t>
  </si>
  <si>
    <t>Indirect Material</t>
  </si>
  <si>
    <t xml:space="preserve">Indirect Labor </t>
  </si>
  <si>
    <t xml:space="preserve">Depreciation </t>
  </si>
  <si>
    <t>Total Overhead Cost</t>
  </si>
  <si>
    <t>Number of Units</t>
  </si>
  <si>
    <t>Machine Hours *</t>
  </si>
  <si>
    <t>Difference in OH costs</t>
  </si>
  <si>
    <t>Difference in MH</t>
  </si>
  <si>
    <t xml:space="preserve">VC per Unit </t>
  </si>
  <si>
    <t>TVC</t>
  </si>
  <si>
    <t>FC/month</t>
  </si>
  <si>
    <t>FC/yr.</t>
  </si>
  <si>
    <t xml:space="preserve">Electricity </t>
  </si>
  <si>
    <t>Quality Testing</t>
  </si>
  <si>
    <t xml:space="preserve">Sale Price </t>
  </si>
  <si>
    <t>OH</t>
  </si>
  <si>
    <t>VOH</t>
  </si>
  <si>
    <t>Contribution/Unit</t>
  </si>
  <si>
    <t>Fixed Costs</t>
  </si>
  <si>
    <t>Mixed Costs</t>
  </si>
  <si>
    <t>Fixed Overheads</t>
  </si>
  <si>
    <t>Break Even Point in Units</t>
  </si>
  <si>
    <t>Break Even Point in $</t>
  </si>
  <si>
    <t>Target Profit</t>
  </si>
  <si>
    <t>Aggressive</t>
  </si>
  <si>
    <t>Conservative</t>
  </si>
  <si>
    <t>Average</t>
  </si>
  <si>
    <t>Units for Target Profit</t>
  </si>
  <si>
    <t>$ Sales for Target Profit</t>
  </si>
  <si>
    <t>Q1</t>
  </si>
  <si>
    <t>Q2</t>
  </si>
  <si>
    <t>Q3</t>
  </si>
  <si>
    <t>Q4</t>
  </si>
  <si>
    <t>Sales Units</t>
  </si>
  <si>
    <t>Sale Price / Unit</t>
  </si>
  <si>
    <t>Production Budget</t>
  </si>
  <si>
    <t>Opening Inventory</t>
  </si>
  <si>
    <t>Sales Unit (Projected)</t>
  </si>
  <si>
    <t>Q1 (Y2)</t>
  </si>
  <si>
    <t>Planned Ending Units</t>
  </si>
  <si>
    <t>Total Production (Required)</t>
  </si>
  <si>
    <t>Units To be Produced</t>
  </si>
  <si>
    <t>Summary of Physical Units</t>
  </si>
  <si>
    <t>Units in Beginning WIP</t>
  </si>
  <si>
    <t>Units Starter during the month</t>
  </si>
  <si>
    <t>Total Units to be accounted</t>
  </si>
  <si>
    <t>Ending WIP</t>
  </si>
  <si>
    <t>Equivalent Units of Production</t>
  </si>
  <si>
    <t>United Completed</t>
  </si>
  <si>
    <t>Equivalent Units</t>
  </si>
  <si>
    <t>% Completion</t>
  </si>
  <si>
    <t>Transferred In</t>
  </si>
  <si>
    <t>Physical Unts</t>
  </si>
  <si>
    <t xml:space="preserve">Costs to be accounted </t>
  </si>
  <si>
    <t>Cost in Beg WIP</t>
  </si>
  <si>
    <t>Cost During the Month</t>
  </si>
  <si>
    <t>Cost Per Equivaluent Unit</t>
  </si>
  <si>
    <t>Units Transferred Out</t>
  </si>
  <si>
    <t>Cost Assigned to Transfer Out</t>
  </si>
  <si>
    <t>Cost Assigned Ending WIP</t>
  </si>
  <si>
    <t>9)</t>
  </si>
  <si>
    <t xml:space="preserve">Price </t>
  </si>
  <si>
    <t>Actual</t>
  </si>
  <si>
    <t>Total Revenue</t>
  </si>
  <si>
    <t>Cost of Goods Sold / Unit</t>
  </si>
  <si>
    <t>Total COGS</t>
  </si>
  <si>
    <t>10)</t>
  </si>
  <si>
    <t xml:space="preserve">Actual </t>
  </si>
  <si>
    <t xml:space="preserve">Material Used </t>
  </si>
  <si>
    <t>Price Per Unit</t>
  </si>
  <si>
    <t>Units Produced</t>
  </si>
  <si>
    <t>Standard</t>
  </si>
  <si>
    <t>Material Price Variance</t>
  </si>
  <si>
    <t>Material Quantity Variance</t>
  </si>
  <si>
    <t>Material Total Variance</t>
  </si>
  <si>
    <t>Favorable</t>
  </si>
  <si>
    <t>Unfavorable</t>
  </si>
  <si>
    <t>11)</t>
  </si>
  <si>
    <t>Labor Hours</t>
  </si>
  <si>
    <t>Labor Rate Variance</t>
  </si>
  <si>
    <t>Labor Efficency Variance</t>
  </si>
  <si>
    <t>Labor Total Variance</t>
  </si>
  <si>
    <t>12)</t>
  </si>
  <si>
    <t xml:space="preserve">Total Variable Cost Current </t>
  </si>
  <si>
    <t>Acceptable Cost</t>
  </si>
  <si>
    <t>13)</t>
  </si>
  <si>
    <t>Predetermined Rate</t>
  </si>
  <si>
    <t xml:space="preserve">Hours </t>
  </si>
  <si>
    <t>Absorbed Overheads</t>
  </si>
  <si>
    <t>Actual Overheads</t>
  </si>
  <si>
    <t>Indirect Materials</t>
  </si>
  <si>
    <t>Indirect Labor</t>
  </si>
  <si>
    <t xml:space="preserve">Over Absorbed </t>
  </si>
  <si>
    <t>Table 5</t>
  </si>
  <si>
    <t>CVP Relationships</t>
  </si>
  <si>
    <t>Budgeting</t>
  </si>
  <si>
    <t>Running Quarter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</si>
</sst>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0">
    <xf numFmtId="0" fontId="0" fillId="0" borderId="0" xfId="0"/>
    <xf numFmtId="43" fontId="3" fillId="0" borderId="1" xfId="1" applyFont="1" applyBorder="1"/>
    <xf numFmtId="43" fontId="2" fillId="0" borderId="0" xfId="1" applyFont="1" applyBorder="1"/>
    <xf numFmtId="43" fontId="5" fillId="0" borderId="0" xfId="1" applyFont="1" applyBorder="1" applyAlignment="1">
      <alignment horizontal="right" vertical="center"/>
    </xf>
    <xf numFmtId="43" fontId="5" fillId="0" borderId="0" xfId="1" applyFont="1" applyBorder="1" applyAlignment="1">
      <alignment vertical="center"/>
    </xf>
    <xf numFmtId="43" fontId="6" fillId="0" borderId="0" xfId="1" applyFont="1" applyBorder="1" applyAlignment="1">
      <alignment horizontal="right" vertical="center"/>
    </xf>
    <xf numFmtId="43" fontId="6" fillId="0" borderId="0" xfId="1" applyFont="1" applyBorder="1" applyAlignment="1">
      <alignment vertical="center"/>
    </xf>
    <xf numFmtId="43" fontId="4" fillId="2" borderId="0" xfId="1" applyFont="1" applyFill="1" applyBorder="1" applyAlignment="1">
      <alignment horizontal="center" vertical="center"/>
    </xf>
    <xf numFmtId="43" fontId="4" fillId="2" borderId="0" xfId="1" applyFont="1" applyFill="1" applyBorder="1" applyAlignment="1">
      <alignment horizontal="center" vertical="center" wrapText="1"/>
    </xf>
    <xf numFmtId="43" fontId="7" fillId="2" borderId="0" xfId="1" applyFont="1" applyFill="1" applyBorder="1" applyAlignment="1">
      <alignment horizontal="center" vertical="center"/>
    </xf>
    <xf numFmtId="43" fontId="3" fillId="0" borderId="0" xfId="1" applyFont="1" applyBorder="1"/>
    <xf numFmtId="9" fontId="2" fillId="0" borderId="0" xfId="1" applyNumberFormat="1" applyFont="1" applyBorder="1"/>
    <xf numFmtId="43" fontId="4" fillId="2" borderId="0" xfId="1" applyFont="1" applyFill="1" applyBorder="1"/>
    <xf numFmtId="43" fontId="4" fillId="2" borderId="0" xfId="1" applyFont="1" applyFill="1" applyBorder="1" applyAlignment="1">
      <alignment vertical="center"/>
    </xf>
    <xf numFmtId="43" fontId="3" fillId="0" borderId="0" xfId="1" applyFont="1" applyBorder="1" applyAlignment="1"/>
    <xf numFmtId="43" fontId="2" fillId="0" borderId="0" xfId="1" applyFont="1" applyBorder="1" applyAlignment="1"/>
    <xf numFmtId="43" fontId="4" fillId="2" borderId="0" xfId="1" applyFont="1" applyFill="1" applyBorder="1" applyAlignment="1">
      <alignment horizontal="center"/>
    </xf>
    <xf numFmtId="43" fontId="3" fillId="0" borderId="1" xfId="1" applyFont="1" applyBorder="1" applyAlignment="1"/>
    <xf numFmtId="43" fontId="4" fillId="3" borderId="0" xfId="1" applyFont="1" applyFill="1" applyBorder="1" applyAlignment="1">
      <alignment horizontal="center"/>
    </xf>
    <xf numFmtId="43" fontId="4" fillId="3" borderId="0" xfId="1" applyFont="1" applyFill="1" applyBorder="1" applyAlignment="1">
      <alignment horizontal="lef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156"/>
  <sheetViews>
    <sheetView showGridLines="0" tabSelected="1" zoomScale="110" zoomScaleNormal="110" workbookViewId="0">
      <selection activeCell="A2" sqref="A2:G2"/>
    </sheetView>
  </sheetViews>
  <sheetFormatPr defaultRowHeight="12.75" x14ac:dyDescent="0.2"/>
  <cols>
    <col min="1" max="1" width="26.42578125" style="2" bestFit="1" customWidth="1"/>
    <col min="2" max="2" width="18.42578125" style="2" bestFit="1" customWidth="1"/>
    <col min="3" max="3" width="14.5703125" style="2" bestFit="1" customWidth="1"/>
    <col min="4" max="4" width="13.140625" style="2" bestFit="1" customWidth="1"/>
    <col min="5" max="5" width="11" style="2" bestFit="1" customWidth="1"/>
    <col min="6" max="6" width="13.140625" style="2" bestFit="1" customWidth="1"/>
    <col min="7" max="7" width="10" style="2" bestFit="1" customWidth="1"/>
    <col min="8" max="8" width="13.140625" style="2" bestFit="1" customWidth="1"/>
    <col min="9" max="9" width="10" style="2" bestFit="1" customWidth="1"/>
    <col min="10" max="10" width="13.140625" style="2" bestFit="1" customWidth="1"/>
    <col min="11" max="11" width="10" style="2" bestFit="1" customWidth="1"/>
    <col min="12" max="16384" width="9.140625" style="2"/>
  </cols>
  <sheetData>
    <row r="2" spans="1:7" x14ac:dyDescent="0.2">
      <c r="A2" s="18" t="s">
        <v>4</v>
      </c>
      <c r="B2" s="18"/>
      <c r="C2" s="18"/>
      <c r="D2" s="18"/>
      <c r="E2" s="18"/>
      <c r="F2" s="18"/>
      <c r="G2" s="18"/>
    </row>
    <row r="4" spans="1:7" x14ac:dyDescent="0.2">
      <c r="A4" s="8" t="s">
        <v>11</v>
      </c>
      <c r="B4" s="8" t="s">
        <v>12</v>
      </c>
      <c r="C4" s="8" t="s">
        <v>13</v>
      </c>
      <c r="D4" s="8" t="s">
        <v>14</v>
      </c>
    </row>
    <row r="5" spans="1:7" x14ac:dyDescent="0.2">
      <c r="A5" s="4" t="s">
        <v>15</v>
      </c>
      <c r="B5" s="3">
        <v>3</v>
      </c>
      <c r="C5" s="3">
        <v>0.5</v>
      </c>
      <c r="D5" s="3">
        <f>C5*B5</f>
        <v>1.5</v>
      </c>
    </row>
    <row r="6" spans="1:7" x14ac:dyDescent="0.2">
      <c r="A6" s="4" t="s">
        <v>16</v>
      </c>
      <c r="B6" s="3">
        <v>2</v>
      </c>
      <c r="C6" s="3">
        <v>0.05</v>
      </c>
      <c r="D6" s="3">
        <f t="shared" ref="D6:D7" si="0">C6*B6</f>
        <v>0.1</v>
      </c>
    </row>
    <row r="7" spans="1:7" ht="21.75" customHeight="1" x14ac:dyDescent="0.2">
      <c r="A7" s="4" t="s">
        <v>17</v>
      </c>
      <c r="B7" s="3">
        <v>1</v>
      </c>
      <c r="C7" s="3">
        <v>0.2</v>
      </c>
      <c r="D7" s="3">
        <f t="shared" si="0"/>
        <v>0.2</v>
      </c>
    </row>
    <row r="8" spans="1:7" x14ac:dyDescent="0.2">
      <c r="A8" s="6" t="s">
        <v>18</v>
      </c>
      <c r="B8" s="6"/>
      <c r="C8" s="6"/>
      <c r="D8" s="5">
        <f>SUM(D5:D7)</f>
        <v>1.8</v>
      </c>
    </row>
    <row r="10" spans="1:7" x14ac:dyDescent="0.2">
      <c r="A10" s="8" t="s">
        <v>19</v>
      </c>
      <c r="B10" s="8" t="s">
        <v>20</v>
      </c>
      <c r="C10" s="8" t="s">
        <v>1</v>
      </c>
      <c r="D10" s="8" t="s">
        <v>18</v>
      </c>
    </row>
    <row r="11" spans="1:7" x14ac:dyDescent="0.2">
      <c r="A11" s="4" t="s">
        <v>21</v>
      </c>
      <c r="B11" s="3">
        <v>0.1</v>
      </c>
      <c r="C11" s="3">
        <v>10.5</v>
      </c>
      <c r="D11" s="3">
        <f t="shared" ref="D11:D13" si="1">C11*B11</f>
        <v>1.05</v>
      </c>
    </row>
    <row r="12" spans="1:7" x14ac:dyDescent="0.2">
      <c r="A12" s="4" t="s">
        <v>22</v>
      </c>
      <c r="B12" s="3">
        <v>0.04</v>
      </c>
      <c r="C12" s="3">
        <v>10.5</v>
      </c>
      <c r="D12" s="3">
        <f t="shared" si="1"/>
        <v>0.42</v>
      </c>
    </row>
    <row r="13" spans="1:7" x14ac:dyDescent="0.2">
      <c r="A13" s="4" t="s">
        <v>23</v>
      </c>
      <c r="B13" s="3">
        <v>0.02</v>
      </c>
      <c r="C13" s="3">
        <v>10.5</v>
      </c>
      <c r="D13" s="3">
        <f t="shared" si="1"/>
        <v>0.21</v>
      </c>
    </row>
    <row r="14" spans="1:7" x14ac:dyDescent="0.2">
      <c r="A14" s="6" t="s">
        <v>18</v>
      </c>
      <c r="B14" s="6"/>
      <c r="C14" s="6"/>
      <c r="D14" s="5">
        <f>SUM(D11:D13)</f>
        <v>1.68</v>
      </c>
    </row>
    <row r="16" spans="1:7" x14ac:dyDescent="0.2">
      <c r="A16" s="7" t="s">
        <v>24</v>
      </c>
      <c r="B16" s="7" t="s">
        <v>25</v>
      </c>
    </row>
    <row r="17" spans="1:3" x14ac:dyDescent="0.2">
      <c r="A17" s="4" t="s">
        <v>26</v>
      </c>
      <c r="B17" s="3">
        <v>9600</v>
      </c>
    </row>
    <row r="18" spans="1:3" x14ac:dyDescent="0.2">
      <c r="A18" s="4" t="s">
        <v>27</v>
      </c>
      <c r="B18" s="3">
        <v>60000</v>
      </c>
    </row>
    <row r="19" spans="1:3" x14ac:dyDescent="0.2">
      <c r="A19" s="4" t="s">
        <v>28</v>
      </c>
      <c r="B19" s="3">
        <v>4476</v>
      </c>
    </row>
    <row r="20" spans="1:3" x14ac:dyDescent="0.2">
      <c r="A20" s="4" t="s">
        <v>10</v>
      </c>
      <c r="B20" s="3">
        <v>5320</v>
      </c>
    </row>
    <row r="21" spans="1:3" x14ac:dyDescent="0.2">
      <c r="A21" s="4" t="s">
        <v>29</v>
      </c>
      <c r="B21" s="3">
        <v>7200</v>
      </c>
    </row>
    <row r="22" spans="1:3" x14ac:dyDescent="0.2">
      <c r="A22" s="4" t="s">
        <v>30</v>
      </c>
      <c r="B22" s="3">
        <v>4690</v>
      </c>
    </row>
    <row r="23" spans="1:3" x14ac:dyDescent="0.2">
      <c r="A23" s="4" t="s">
        <v>3</v>
      </c>
      <c r="B23" s="3">
        <v>91286</v>
      </c>
    </row>
    <row r="25" spans="1:3" x14ac:dyDescent="0.2">
      <c r="A25" s="8"/>
      <c r="B25" s="8" t="s">
        <v>33</v>
      </c>
      <c r="C25" s="8" t="s">
        <v>34</v>
      </c>
    </row>
    <row r="26" spans="1:3" x14ac:dyDescent="0.2">
      <c r="A26" s="4" t="s">
        <v>35</v>
      </c>
      <c r="B26" s="3">
        <v>800</v>
      </c>
      <c r="C26" s="3">
        <v>800</v>
      </c>
    </row>
    <row r="27" spans="1:3" x14ac:dyDescent="0.2">
      <c r="A27" s="4" t="s">
        <v>36</v>
      </c>
      <c r="B27" s="3">
        <v>5000</v>
      </c>
      <c r="C27" s="4">
        <v>5000</v>
      </c>
    </row>
    <row r="28" spans="1:3" x14ac:dyDescent="0.2">
      <c r="A28" s="4" t="s">
        <v>28</v>
      </c>
      <c r="B28" s="3">
        <v>410</v>
      </c>
      <c r="C28" s="3">
        <v>500</v>
      </c>
    </row>
    <row r="29" spans="1:3" x14ac:dyDescent="0.2">
      <c r="A29" s="4" t="s">
        <v>10</v>
      </c>
      <c r="B29" s="3">
        <v>504</v>
      </c>
      <c r="C29" s="3">
        <v>630</v>
      </c>
    </row>
    <row r="30" spans="1:3" x14ac:dyDescent="0.2">
      <c r="A30" s="4" t="s">
        <v>37</v>
      </c>
      <c r="B30" s="3">
        <v>600</v>
      </c>
      <c r="C30" s="3">
        <v>600</v>
      </c>
    </row>
    <row r="31" spans="1:3" x14ac:dyDescent="0.2">
      <c r="A31" s="4" t="s">
        <v>30</v>
      </c>
      <c r="B31" s="3">
        <v>428</v>
      </c>
      <c r="C31" s="3">
        <v>500</v>
      </c>
    </row>
    <row r="32" spans="1:3" x14ac:dyDescent="0.2">
      <c r="A32" s="6" t="s">
        <v>38</v>
      </c>
      <c r="B32" s="5">
        <v>7742</v>
      </c>
      <c r="C32" s="5">
        <v>8030</v>
      </c>
    </row>
    <row r="33" spans="1:7" x14ac:dyDescent="0.2">
      <c r="A33" s="4" t="s">
        <v>39</v>
      </c>
      <c r="B33" s="3">
        <v>7200</v>
      </c>
      <c r="C33" s="3">
        <v>9000</v>
      </c>
    </row>
    <row r="34" spans="1:7" x14ac:dyDescent="0.2">
      <c r="A34" s="4" t="s">
        <v>40</v>
      </c>
      <c r="B34" s="3">
        <v>1200</v>
      </c>
      <c r="C34" s="3">
        <v>1500</v>
      </c>
    </row>
    <row r="36" spans="1:7" x14ac:dyDescent="0.2">
      <c r="A36" s="18" t="s">
        <v>5</v>
      </c>
      <c r="B36" s="18"/>
      <c r="C36" s="18"/>
      <c r="D36" s="18"/>
      <c r="E36" s="18"/>
      <c r="F36" s="18"/>
      <c r="G36" s="18"/>
    </row>
    <row r="37" spans="1:7" x14ac:dyDescent="0.2">
      <c r="A37" s="2" t="s">
        <v>31</v>
      </c>
      <c r="B37" s="2">
        <f>12336</f>
        <v>12336</v>
      </c>
    </row>
    <row r="38" spans="1:7" ht="13.5" thickBot="1" x14ac:dyDescent="0.25">
      <c r="A38" s="10" t="s">
        <v>32</v>
      </c>
      <c r="B38" s="1">
        <f>B23/B37</f>
        <v>7.3999675745784694</v>
      </c>
    </row>
    <row r="40" spans="1:7" x14ac:dyDescent="0.2">
      <c r="A40" s="10" t="s">
        <v>128</v>
      </c>
    </row>
    <row r="41" spans="1:7" ht="25.5" x14ac:dyDescent="0.2">
      <c r="A41" s="9"/>
      <c r="B41" s="8" t="s">
        <v>41</v>
      </c>
      <c r="C41" s="8" t="s">
        <v>42</v>
      </c>
      <c r="D41" s="8" t="s">
        <v>43</v>
      </c>
      <c r="E41" s="8" t="s">
        <v>44</v>
      </c>
      <c r="F41" s="8" t="s">
        <v>45</v>
      </c>
      <c r="G41" s="8" t="s">
        <v>46</v>
      </c>
    </row>
    <row r="42" spans="1:7" x14ac:dyDescent="0.2">
      <c r="A42" s="2" t="s">
        <v>28</v>
      </c>
      <c r="B42" s="2">
        <f>C28-B28</f>
        <v>90</v>
      </c>
      <c r="C42" s="2">
        <v>300</v>
      </c>
      <c r="D42" s="2">
        <f>B42/($C$33-$B$33)</f>
        <v>0.05</v>
      </c>
      <c r="E42" s="2">
        <f>D42*$C$33</f>
        <v>450</v>
      </c>
      <c r="F42" s="2">
        <f>C28-E42</f>
        <v>50</v>
      </c>
      <c r="G42" s="2">
        <f>F42*12</f>
        <v>600</v>
      </c>
    </row>
    <row r="43" spans="1:7" x14ac:dyDescent="0.2">
      <c r="A43" s="2" t="s">
        <v>47</v>
      </c>
      <c r="B43" s="2">
        <f>C29-B29</f>
        <v>126</v>
      </c>
      <c r="C43" s="2">
        <f>C42</f>
        <v>300</v>
      </c>
      <c r="D43" s="2">
        <f t="shared" ref="D43:D44" si="2">B43/($C$33-$B$33)</f>
        <v>7.0000000000000007E-2</v>
      </c>
      <c r="E43" s="2">
        <f>D43*$C$33</f>
        <v>630.00000000000011</v>
      </c>
      <c r="F43" s="2">
        <f>C29-E43</f>
        <v>0</v>
      </c>
      <c r="G43" s="2">
        <f>F43*12</f>
        <v>0</v>
      </c>
    </row>
    <row r="44" spans="1:7" x14ac:dyDescent="0.2">
      <c r="A44" s="2" t="s">
        <v>48</v>
      </c>
      <c r="B44" s="2">
        <f>C31-B31</f>
        <v>72</v>
      </c>
      <c r="C44" s="2">
        <f>C43</f>
        <v>300</v>
      </c>
      <c r="D44" s="2">
        <f t="shared" si="2"/>
        <v>0.04</v>
      </c>
      <c r="E44" s="2">
        <f>D44*$C$33</f>
        <v>360</v>
      </c>
      <c r="F44" s="2">
        <f>C30-E44</f>
        <v>240</v>
      </c>
      <c r="G44" s="2">
        <f>F44*12</f>
        <v>2880</v>
      </c>
    </row>
    <row r="46" spans="1:7" x14ac:dyDescent="0.2">
      <c r="A46" s="18" t="s">
        <v>129</v>
      </c>
      <c r="B46" s="18"/>
      <c r="C46" s="18"/>
      <c r="D46" s="18"/>
      <c r="E46" s="18"/>
      <c r="F46" s="18"/>
      <c r="G46" s="18"/>
    </row>
    <row r="47" spans="1:7" x14ac:dyDescent="0.2">
      <c r="A47" s="2" t="s">
        <v>49</v>
      </c>
      <c r="B47" s="2">
        <v>6.7</v>
      </c>
    </row>
    <row r="48" spans="1:7" x14ac:dyDescent="0.2">
      <c r="A48" s="2" t="s">
        <v>0</v>
      </c>
      <c r="B48" s="2">
        <f>D8</f>
        <v>1.8</v>
      </c>
    </row>
    <row r="49" spans="1:4" x14ac:dyDescent="0.2">
      <c r="A49" s="2" t="s">
        <v>2</v>
      </c>
      <c r="B49" s="2">
        <f>D14</f>
        <v>1.68</v>
      </c>
    </row>
    <row r="50" spans="1:4" x14ac:dyDescent="0.2">
      <c r="A50" s="2" t="s">
        <v>51</v>
      </c>
      <c r="B50" s="2">
        <f>SUM(D42:D44)</f>
        <v>0.16</v>
      </c>
    </row>
    <row r="51" spans="1:4" ht="13.5" thickBot="1" x14ac:dyDescent="0.25">
      <c r="A51" s="10" t="s">
        <v>52</v>
      </c>
      <c r="B51" s="1">
        <f>B47-B48-B49-B50</f>
        <v>3.0600000000000005</v>
      </c>
    </row>
    <row r="53" spans="1:4" x14ac:dyDescent="0.2">
      <c r="A53" s="10" t="s">
        <v>53</v>
      </c>
    </row>
    <row r="54" spans="1:4" x14ac:dyDescent="0.2">
      <c r="A54" s="2" t="s">
        <v>54</v>
      </c>
      <c r="B54" s="2">
        <f>SUM(G42:G44)</f>
        <v>3480</v>
      </c>
    </row>
    <row r="55" spans="1:4" x14ac:dyDescent="0.2">
      <c r="A55" s="2" t="s">
        <v>55</v>
      </c>
      <c r="B55" s="2">
        <f>B23</f>
        <v>91286</v>
      </c>
    </row>
    <row r="56" spans="1:4" x14ac:dyDescent="0.2">
      <c r="A56" s="2" t="s">
        <v>3</v>
      </c>
      <c r="B56" s="2">
        <f>SUM(B54:B55)</f>
        <v>94766</v>
      </c>
    </row>
    <row r="57" spans="1:4" ht="13.5" thickBot="1" x14ac:dyDescent="0.25">
      <c r="A57" s="10" t="s">
        <v>56</v>
      </c>
      <c r="B57" s="1">
        <f>ROUND(B56/B51,0)</f>
        <v>30969</v>
      </c>
    </row>
    <row r="58" spans="1:4" ht="13.5" thickBot="1" x14ac:dyDescent="0.25">
      <c r="A58" s="10" t="s">
        <v>57</v>
      </c>
      <c r="B58" s="1">
        <f>B57*B47</f>
        <v>207492.30000000002</v>
      </c>
    </row>
    <row r="61" spans="1:4" x14ac:dyDescent="0.2">
      <c r="B61" s="8" t="s">
        <v>59</v>
      </c>
      <c r="C61" s="8" t="s">
        <v>60</v>
      </c>
      <c r="D61" s="8" t="s">
        <v>61</v>
      </c>
    </row>
    <row r="62" spans="1:4" x14ac:dyDescent="0.2">
      <c r="A62" s="2" t="s">
        <v>58</v>
      </c>
      <c r="B62" s="2">
        <v>225000</v>
      </c>
      <c r="C62" s="2">
        <v>75000</v>
      </c>
      <c r="D62" s="2">
        <v>150420</v>
      </c>
    </row>
    <row r="63" spans="1:4" x14ac:dyDescent="0.2">
      <c r="A63" s="2" t="s">
        <v>8</v>
      </c>
      <c r="B63" s="2">
        <f>B56</f>
        <v>94766</v>
      </c>
      <c r="C63" s="2">
        <f>B63</f>
        <v>94766</v>
      </c>
      <c r="D63" s="2">
        <f>C63</f>
        <v>94766</v>
      </c>
    </row>
    <row r="64" spans="1:4" ht="13.5" thickBot="1" x14ac:dyDescent="0.25">
      <c r="A64" s="10" t="s">
        <v>62</v>
      </c>
      <c r="B64" s="1">
        <f>ROUND(SUM(B62:B63)/$B$51,0)</f>
        <v>104499</v>
      </c>
      <c r="C64" s="1">
        <f>ROUND(SUM(C62:C63)/$B$51,0)</f>
        <v>55479</v>
      </c>
      <c r="D64" s="1">
        <f>ROUND(SUM(D62:D63)/$B$51,0)</f>
        <v>80126</v>
      </c>
    </row>
    <row r="65" spans="1:7" ht="13.5" thickBot="1" x14ac:dyDescent="0.25">
      <c r="A65" s="10" t="s">
        <v>63</v>
      </c>
      <c r="B65" s="1">
        <f>B64*$B$47</f>
        <v>700143.3</v>
      </c>
      <c r="C65" s="1">
        <f t="shared" ref="C65:D65" si="3">C64*$B$47</f>
        <v>371709.3</v>
      </c>
      <c r="D65" s="1">
        <f t="shared" si="3"/>
        <v>536844.20000000007</v>
      </c>
    </row>
    <row r="67" spans="1:7" x14ac:dyDescent="0.2">
      <c r="A67" s="18" t="s">
        <v>130</v>
      </c>
      <c r="B67" s="18"/>
      <c r="C67" s="18"/>
      <c r="D67" s="18"/>
      <c r="E67" s="18"/>
      <c r="F67" s="18"/>
      <c r="G67" s="18"/>
    </row>
    <row r="68" spans="1:7" x14ac:dyDescent="0.2">
      <c r="A68" s="10" t="s">
        <v>7</v>
      </c>
    </row>
    <row r="69" spans="1:7" x14ac:dyDescent="0.2">
      <c r="B69" s="8" t="s">
        <v>64</v>
      </c>
      <c r="C69" s="8" t="s">
        <v>65</v>
      </c>
      <c r="D69" s="8" t="s">
        <v>66</v>
      </c>
      <c r="E69" s="8" t="s">
        <v>67</v>
      </c>
    </row>
    <row r="70" spans="1:7" x14ac:dyDescent="0.2">
      <c r="A70" s="2" t="s">
        <v>68</v>
      </c>
      <c r="B70" s="2">
        <f>ROUND(D64/4,0)</f>
        <v>20032</v>
      </c>
      <c r="C70" s="2">
        <f>B70</f>
        <v>20032</v>
      </c>
      <c r="D70" s="2">
        <f>C70</f>
        <v>20032</v>
      </c>
      <c r="E70" s="2">
        <f>D70</f>
        <v>20032</v>
      </c>
    </row>
    <row r="71" spans="1:7" x14ac:dyDescent="0.2">
      <c r="A71" s="2" t="s">
        <v>69</v>
      </c>
      <c r="B71" s="2">
        <f>B47</f>
        <v>6.7</v>
      </c>
      <c r="C71" s="2">
        <f>B71</f>
        <v>6.7</v>
      </c>
      <c r="D71" s="2">
        <f t="shared" ref="D71:E71" si="4">C71</f>
        <v>6.7</v>
      </c>
      <c r="E71" s="2">
        <f t="shared" si="4"/>
        <v>6.7</v>
      </c>
    </row>
    <row r="72" spans="1:7" ht="13.5" thickBot="1" x14ac:dyDescent="0.25">
      <c r="A72" s="2" t="s">
        <v>9</v>
      </c>
      <c r="B72" s="1">
        <f>B70*B71</f>
        <v>134214.39999999999</v>
      </c>
      <c r="C72" s="1">
        <f t="shared" ref="C72:E72" si="5">C70*C71</f>
        <v>134214.39999999999</v>
      </c>
      <c r="D72" s="1">
        <f t="shared" si="5"/>
        <v>134214.39999999999</v>
      </c>
      <c r="E72" s="1">
        <f t="shared" si="5"/>
        <v>134214.39999999999</v>
      </c>
    </row>
    <row r="74" spans="1:7" x14ac:dyDescent="0.2">
      <c r="A74" s="10" t="s">
        <v>70</v>
      </c>
    </row>
    <row r="75" spans="1:7" x14ac:dyDescent="0.2">
      <c r="B75" s="8" t="s">
        <v>64</v>
      </c>
      <c r="C75" s="8" t="s">
        <v>65</v>
      </c>
      <c r="D75" s="8" t="s">
        <v>66</v>
      </c>
      <c r="E75" s="8" t="s">
        <v>67</v>
      </c>
      <c r="F75" s="8" t="s">
        <v>73</v>
      </c>
    </row>
    <row r="76" spans="1:7" x14ac:dyDescent="0.2">
      <c r="A76" s="2" t="s">
        <v>72</v>
      </c>
      <c r="B76" s="2">
        <f>B70</f>
        <v>20032</v>
      </c>
      <c r="C76" s="2">
        <f>C70</f>
        <v>20032</v>
      </c>
      <c r="D76" s="2">
        <f>D70</f>
        <v>20032</v>
      </c>
      <c r="E76" s="2">
        <f>E70</f>
        <v>20032</v>
      </c>
      <c r="F76" s="2">
        <v>21000</v>
      </c>
    </row>
    <row r="77" spans="1:7" x14ac:dyDescent="0.2">
      <c r="A77" s="2" t="s">
        <v>74</v>
      </c>
      <c r="B77" s="2">
        <f>ROUND(C76*10%,0)</f>
        <v>2003</v>
      </c>
      <c r="C77" s="2">
        <f t="shared" ref="C77:E77" si="6">ROUND(D76*10%,0)</f>
        <v>2003</v>
      </c>
      <c r="D77" s="2">
        <f t="shared" si="6"/>
        <v>2003</v>
      </c>
      <c r="E77" s="2">
        <f t="shared" si="6"/>
        <v>2100</v>
      </c>
    </row>
    <row r="78" spans="1:7" x14ac:dyDescent="0.2">
      <c r="A78" s="2" t="s">
        <v>75</v>
      </c>
      <c r="B78" s="2">
        <f>B76+B77</f>
        <v>22035</v>
      </c>
      <c r="C78" s="2">
        <f t="shared" ref="C78:E78" si="7">C76+C77</f>
        <v>22035</v>
      </c>
      <c r="D78" s="2">
        <f t="shared" si="7"/>
        <v>22035</v>
      </c>
      <c r="E78" s="2">
        <f t="shared" si="7"/>
        <v>22132</v>
      </c>
    </row>
    <row r="79" spans="1:7" x14ac:dyDescent="0.2">
      <c r="A79" s="2" t="s">
        <v>71</v>
      </c>
      <c r="B79" s="2">
        <v>0</v>
      </c>
      <c r="C79" s="2">
        <f>B77</f>
        <v>2003</v>
      </c>
      <c r="D79" s="2">
        <f>C77</f>
        <v>2003</v>
      </c>
      <c r="E79" s="2">
        <f>D77</f>
        <v>2003</v>
      </c>
    </row>
    <row r="80" spans="1:7" ht="13.5" thickBot="1" x14ac:dyDescent="0.25">
      <c r="A80" s="2" t="s">
        <v>76</v>
      </c>
      <c r="B80" s="1">
        <f>B78-B79</f>
        <v>22035</v>
      </c>
      <c r="C80" s="1">
        <f>C78-C79</f>
        <v>20032</v>
      </c>
      <c r="D80" s="1">
        <f>D78-D79</f>
        <v>20032</v>
      </c>
      <c r="E80" s="1">
        <f>E78-E79</f>
        <v>20129</v>
      </c>
    </row>
    <row r="83" spans="1:11" x14ac:dyDescent="0.2">
      <c r="A83" s="18" t="s">
        <v>131</v>
      </c>
      <c r="B83" s="18"/>
      <c r="C83" s="18"/>
      <c r="D83" s="18"/>
      <c r="E83" s="18"/>
      <c r="F83" s="18"/>
      <c r="G83" s="18"/>
    </row>
    <row r="84" spans="1:11" x14ac:dyDescent="0.2">
      <c r="A84" s="10" t="s">
        <v>77</v>
      </c>
    </row>
    <row r="85" spans="1:11" x14ac:dyDescent="0.2">
      <c r="A85" s="2" t="s">
        <v>78</v>
      </c>
      <c r="C85" s="2">
        <v>4000</v>
      </c>
    </row>
    <row r="86" spans="1:11" x14ac:dyDescent="0.2">
      <c r="A86" s="2" t="s">
        <v>79</v>
      </c>
      <c r="C86" s="2">
        <v>22013</v>
      </c>
    </row>
    <row r="87" spans="1:11" ht="13.5" thickBot="1" x14ac:dyDescent="0.25">
      <c r="A87" s="10" t="s">
        <v>80</v>
      </c>
      <c r="B87" s="10"/>
      <c r="C87" s="1">
        <f>SUM(C85:C86)</f>
        <v>26013</v>
      </c>
    </row>
    <row r="88" spans="1:11" ht="13.5" thickBot="1" x14ac:dyDescent="0.25">
      <c r="A88" s="10" t="s">
        <v>92</v>
      </c>
      <c r="B88" s="10"/>
      <c r="C88" s="1">
        <f>C87-C89</f>
        <v>21813</v>
      </c>
    </row>
    <row r="89" spans="1:11" x14ac:dyDescent="0.2">
      <c r="A89" s="2" t="s">
        <v>81</v>
      </c>
      <c r="C89" s="2">
        <v>4200</v>
      </c>
    </row>
    <row r="91" spans="1:11" x14ac:dyDescent="0.2">
      <c r="A91" s="10" t="s">
        <v>82</v>
      </c>
    </row>
    <row r="92" spans="1:11" x14ac:dyDescent="0.2">
      <c r="A92" s="12"/>
      <c r="B92" s="12"/>
      <c r="C92" s="16" t="s">
        <v>86</v>
      </c>
      <c r="D92" s="16"/>
      <c r="E92" s="16" t="s">
        <v>0</v>
      </c>
      <c r="F92" s="16"/>
      <c r="G92" s="16" t="s">
        <v>2</v>
      </c>
      <c r="H92" s="16"/>
      <c r="I92" s="16" t="s">
        <v>50</v>
      </c>
      <c r="J92" s="16"/>
      <c r="K92" s="15"/>
    </row>
    <row r="93" spans="1:11" ht="25.5" x14ac:dyDescent="0.2">
      <c r="A93" s="12"/>
      <c r="B93" s="12" t="s">
        <v>87</v>
      </c>
      <c r="C93" s="13" t="s">
        <v>85</v>
      </c>
      <c r="D93" s="8" t="s">
        <v>84</v>
      </c>
      <c r="E93" s="13" t="s">
        <v>85</v>
      </c>
      <c r="F93" s="8" t="s">
        <v>84</v>
      </c>
      <c r="G93" s="13" t="s">
        <v>85</v>
      </c>
      <c r="H93" s="8" t="s">
        <v>84</v>
      </c>
      <c r="I93" s="13" t="s">
        <v>85</v>
      </c>
      <c r="J93" s="8" t="s">
        <v>84</v>
      </c>
    </row>
    <row r="94" spans="1:11" x14ac:dyDescent="0.2">
      <c r="A94" s="2" t="s">
        <v>83</v>
      </c>
      <c r="B94" s="2">
        <f>C87</f>
        <v>26013</v>
      </c>
      <c r="C94" s="11">
        <v>1</v>
      </c>
      <c r="D94" s="2">
        <f>C94*B94</f>
        <v>26013</v>
      </c>
      <c r="E94" s="11">
        <v>1</v>
      </c>
      <c r="F94" s="2">
        <f>E94*B94</f>
        <v>26013</v>
      </c>
      <c r="G94" s="11">
        <v>1</v>
      </c>
      <c r="H94" s="2">
        <f>G94*B94</f>
        <v>26013</v>
      </c>
      <c r="I94" s="11">
        <v>1</v>
      </c>
      <c r="J94" s="2">
        <f>I94*B94</f>
        <v>26013</v>
      </c>
    </row>
    <row r="95" spans="1:11" x14ac:dyDescent="0.2">
      <c r="A95" s="2" t="s">
        <v>81</v>
      </c>
      <c r="B95" s="2">
        <v>4200</v>
      </c>
      <c r="C95" s="11">
        <v>0.3</v>
      </c>
      <c r="D95" s="2">
        <f>C95*B95</f>
        <v>1260</v>
      </c>
      <c r="E95" s="11">
        <v>0.9</v>
      </c>
      <c r="F95" s="2">
        <f>E95*B95</f>
        <v>3780</v>
      </c>
      <c r="G95" s="11">
        <v>0.3</v>
      </c>
      <c r="H95" s="2">
        <f>G95*B95</f>
        <v>1260</v>
      </c>
      <c r="I95" s="11">
        <v>0.3</v>
      </c>
      <c r="J95" s="2">
        <f>I95*B95</f>
        <v>1260</v>
      </c>
    </row>
    <row r="96" spans="1:11" s="10" customFormat="1" ht="13.5" thickBot="1" x14ac:dyDescent="0.25">
      <c r="A96" s="14" t="s">
        <v>3</v>
      </c>
      <c r="B96" s="1">
        <f>SUM(B94:B95)</f>
        <v>30213</v>
      </c>
      <c r="C96" s="17"/>
      <c r="D96" s="1">
        <f>SUM(D94:D95)</f>
        <v>27273</v>
      </c>
      <c r="E96" s="1"/>
      <c r="F96" s="1">
        <f>SUM(F94:F95)</f>
        <v>29793</v>
      </c>
      <c r="G96" s="1"/>
      <c r="H96" s="1">
        <f>SUM(H94:H95)</f>
        <v>27273</v>
      </c>
      <c r="I96" s="1"/>
      <c r="J96" s="1">
        <f>SUM(J94:J95)</f>
        <v>27273</v>
      </c>
    </row>
    <row r="98" spans="1:7" x14ac:dyDescent="0.2">
      <c r="A98" s="10" t="s">
        <v>88</v>
      </c>
    </row>
    <row r="99" spans="1:7" x14ac:dyDescent="0.2">
      <c r="A99" s="10"/>
      <c r="B99" s="8" t="s">
        <v>86</v>
      </c>
      <c r="C99" s="8" t="s">
        <v>0</v>
      </c>
      <c r="D99" s="8" t="s">
        <v>2</v>
      </c>
      <c r="E99" s="8" t="s">
        <v>50</v>
      </c>
      <c r="F99" s="8" t="s">
        <v>3</v>
      </c>
    </row>
    <row r="100" spans="1:7" x14ac:dyDescent="0.2">
      <c r="A100" s="2" t="s">
        <v>89</v>
      </c>
      <c r="B100" s="2">
        <v>16620</v>
      </c>
      <c r="C100" s="2">
        <v>720</v>
      </c>
      <c r="D100" s="2">
        <v>479.95</v>
      </c>
      <c r="E100" s="2">
        <v>240</v>
      </c>
      <c r="F100" s="2">
        <f>SUM(B100:E100)</f>
        <v>18059.95</v>
      </c>
    </row>
    <row r="101" spans="1:7" x14ac:dyDescent="0.2">
      <c r="A101" s="2" t="s">
        <v>90</v>
      </c>
      <c r="B101" s="2">
        <v>90293.43</v>
      </c>
      <c r="C101" s="2">
        <f>5166.39</f>
        <v>5166.3900000000003</v>
      </c>
      <c r="D101" s="2">
        <f>475*11</f>
        <v>5225</v>
      </c>
      <c r="E101" s="2">
        <f>475*B38</f>
        <v>3514.984597924773</v>
      </c>
      <c r="F101" s="2">
        <f t="shared" ref="F101" si="8">SUM(B101:E101)</f>
        <v>104199.80459792477</v>
      </c>
    </row>
    <row r="102" spans="1:7" ht="13.5" thickBot="1" x14ac:dyDescent="0.25">
      <c r="A102" s="14" t="s">
        <v>3</v>
      </c>
      <c r="B102" s="1">
        <f t="shared" ref="B102:E102" si="9">SUM(B100:B101)</f>
        <v>106913.43</v>
      </c>
      <c r="C102" s="17">
        <f t="shared" si="9"/>
        <v>5886.39</v>
      </c>
      <c r="D102" s="1">
        <f t="shared" si="9"/>
        <v>5704.95</v>
      </c>
      <c r="E102" s="1">
        <f t="shared" si="9"/>
        <v>3754.984597924773</v>
      </c>
      <c r="F102" s="1">
        <f>SUM(F100:F101)</f>
        <v>122259.75459792477</v>
      </c>
    </row>
    <row r="105" spans="1:7" ht="13.5" thickBot="1" x14ac:dyDescent="0.25">
      <c r="A105" s="10" t="s">
        <v>91</v>
      </c>
      <c r="B105" s="1">
        <f>B102/D96</f>
        <v>3.9201198988010115</v>
      </c>
      <c r="C105" s="17">
        <f>C102/F96</f>
        <v>0.19757627630651498</v>
      </c>
      <c r="D105" s="1">
        <f>D102/H96</f>
        <v>0.20917940820591793</v>
      </c>
      <c r="E105" s="1">
        <f>E102/J96</f>
        <v>0.13768139177665725</v>
      </c>
    </row>
    <row r="106" spans="1:7" ht="13.5" thickBot="1" x14ac:dyDescent="0.25">
      <c r="A106" s="10" t="s">
        <v>93</v>
      </c>
      <c r="B106" s="1">
        <f>B105*$C$88</f>
        <v>85509.575352546468</v>
      </c>
      <c r="C106" s="17">
        <f t="shared" ref="C106:E106" si="10">C105*$C$88</f>
        <v>4309.731315074011</v>
      </c>
      <c r="D106" s="1">
        <f t="shared" si="10"/>
        <v>4562.8304311956881</v>
      </c>
      <c r="E106" s="1">
        <f t="shared" si="10"/>
        <v>3003.2441988242244</v>
      </c>
    </row>
    <row r="107" spans="1:7" ht="13.5" thickBot="1" x14ac:dyDescent="0.25">
      <c r="A107" s="10" t="s">
        <v>94</v>
      </c>
      <c r="B107" s="1">
        <f>B105*B95</f>
        <v>16464.503574964248</v>
      </c>
      <c r="C107" s="17">
        <f>C105*F95</f>
        <v>746.83832443862661</v>
      </c>
      <c r="D107" s="1">
        <f>D105*H95</f>
        <v>263.56605433945657</v>
      </c>
      <c r="E107" s="1">
        <f>E105*J95</f>
        <v>173.47855363858812</v>
      </c>
    </row>
    <row r="109" spans="1:7" x14ac:dyDescent="0.2">
      <c r="A109" s="19" t="s">
        <v>95</v>
      </c>
      <c r="B109" s="19"/>
      <c r="C109" s="19"/>
      <c r="D109" s="19"/>
      <c r="E109" s="19"/>
      <c r="F109" s="19"/>
      <c r="G109" s="19"/>
    </row>
    <row r="110" spans="1:7" x14ac:dyDescent="0.2">
      <c r="A110" s="8"/>
      <c r="B110" s="8" t="s">
        <v>97</v>
      </c>
    </row>
    <row r="111" spans="1:7" x14ac:dyDescent="0.2">
      <c r="A111" s="2" t="s">
        <v>6</v>
      </c>
      <c r="B111" s="2">
        <f>105%*B70</f>
        <v>21033.600000000002</v>
      </c>
    </row>
    <row r="112" spans="1:7" x14ac:dyDescent="0.2">
      <c r="A112" s="2" t="s">
        <v>96</v>
      </c>
      <c r="B112" s="2">
        <v>6.5</v>
      </c>
    </row>
    <row r="113" spans="1:7" ht="13.5" thickBot="1" x14ac:dyDescent="0.25">
      <c r="A113" s="10" t="s">
        <v>98</v>
      </c>
      <c r="B113" s="1">
        <f>B111*B112</f>
        <v>136718.40000000002</v>
      </c>
    </row>
    <row r="115" spans="1:7" x14ac:dyDescent="0.2">
      <c r="A115" s="2" t="s">
        <v>99</v>
      </c>
      <c r="B115" s="2">
        <f>B51-B50</f>
        <v>2.9000000000000004</v>
      </c>
    </row>
    <row r="116" spans="1:7" ht="13.5" thickBot="1" x14ac:dyDescent="0.25">
      <c r="A116" s="2" t="s">
        <v>100</v>
      </c>
      <c r="B116" s="1">
        <f>B115*B111</f>
        <v>60997.440000000017</v>
      </c>
    </row>
    <row r="118" spans="1:7" x14ac:dyDescent="0.2">
      <c r="A118" s="19" t="s">
        <v>101</v>
      </c>
      <c r="B118" s="19"/>
      <c r="C118" s="19"/>
      <c r="D118" s="19"/>
      <c r="E118" s="19"/>
      <c r="F118" s="19"/>
      <c r="G118" s="19"/>
    </row>
    <row r="119" spans="1:7" x14ac:dyDescent="0.2">
      <c r="A119" s="10" t="s">
        <v>105</v>
      </c>
      <c r="B119" s="2">
        <v>25315</v>
      </c>
    </row>
    <row r="120" spans="1:7" x14ac:dyDescent="0.2">
      <c r="A120" s="10"/>
    </row>
    <row r="121" spans="1:7" x14ac:dyDescent="0.2">
      <c r="B121" s="8" t="s">
        <v>102</v>
      </c>
      <c r="C121" s="8" t="s">
        <v>106</v>
      </c>
    </row>
    <row r="122" spans="1:7" x14ac:dyDescent="0.2">
      <c r="A122" s="2" t="s">
        <v>103</v>
      </c>
      <c r="B122" s="2">
        <v>76890</v>
      </c>
      <c r="C122" s="2">
        <f>B119*B5</f>
        <v>75945</v>
      </c>
    </row>
    <row r="123" spans="1:7" x14ac:dyDescent="0.2">
      <c r="A123" s="2" t="s">
        <v>104</v>
      </c>
      <c r="B123" s="2">
        <v>0.49</v>
      </c>
      <c r="C123" s="2">
        <f>C5</f>
        <v>0.5</v>
      </c>
    </row>
    <row r="125" spans="1:7" x14ac:dyDescent="0.2">
      <c r="A125" s="2" t="s">
        <v>107</v>
      </c>
      <c r="B125" s="2">
        <f>(C123-B123)*B122</f>
        <v>768.90000000000066</v>
      </c>
      <c r="C125" s="2" t="s">
        <v>110</v>
      </c>
    </row>
    <row r="126" spans="1:7" x14ac:dyDescent="0.2">
      <c r="A126" s="2" t="s">
        <v>108</v>
      </c>
      <c r="B126" s="2">
        <f>(B122-C122)*C123</f>
        <v>472.5</v>
      </c>
      <c r="C126" s="2" t="s">
        <v>111</v>
      </c>
    </row>
    <row r="127" spans="1:7" ht="13.5" thickBot="1" x14ac:dyDescent="0.25">
      <c r="A127" s="10" t="s">
        <v>109</v>
      </c>
      <c r="B127" s="1">
        <f>B125-B126</f>
        <v>296.40000000000066</v>
      </c>
      <c r="C127" s="1" t="s">
        <v>110</v>
      </c>
    </row>
    <row r="129" spans="1:7" x14ac:dyDescent="0.2">
      <c r="A129" s="19" t="s">
        <v>112</v>
      </c>
      <c r="B129" s="19"/>
      <c r="C129" s="19"/>
      <c r="D129" s="19"/>
      <c r="E129" s="19"/>
      <c r="F129" s="19"/>
      <c r="G129" s="19"/>
    </row>
    <row r="131" spans="1:7" x14ac:dyDescent="0.2">
      <c r="B131" s="8" t="s">
        <v>102</v>
      </c>
      <c r="C131" s="8" t="s">
        <v>106</v>
      </c>
    </row>
    <row r="132" spans="1:7" x14ac:dyDescent="0.2">
      <c r="A132" s="2" t="s">
        <v>113</v>
      </c>
      <c r="B132" s="2">
        <v>4015</v>
      </c>
      <c r="C132" s="2">
        <v>3926</v>
      </c>
    </row>
    <row r="133" spans="1:7" x14ac:dyDescent="0.2">
      <c r="A133" s="2" t="s">
        <v>104</v>
      </c>
      <c r="B133" s="2">
        <v>11</v>
      </c>
      <c r="C133" s="2">
        <v>10.5</v>
      </c>
    </row>
    <row r="135" spans="1:7" x14ac:dyDescent="0.2">
      <c r="A135" s="2" t="s">
        <v>114</v>
      </c>
      <c r="B135" s="2">
        <f>(B133-C133)*B132</f>
        <v>2007.5</v>
      </c>
      <c r="C135" s="2" t="s">
        <v>111</v>
      </c>
    </row>
    <row r="136" spans="1:7" x14ac:dyDescent="0.2">
      <c r="A136" s="2" t="s">
        <v>115</v>
      </c>
      <c r="B136" s="2">
        <f>(B132-C132)*C133</f>
        <v>934.5</v>
      </c>
      <c r="C136" s="2" t="s">
        <v>111</v>
      </c>
    </row>
    <row r="137" spans="1:7" ht="13.5" thickBot="1" x14ac:dyDescent="0.25">
      <c r="A137" s="10" t="s">
        <v>116</v>
      </c>
      <c r="B137" s="1">
        <f>SUM(B135:B136)</f>
        <v>2942</v>
      </c>
      <c r="C137" s="1" t="s">
        <v>111</v>
      </c>
    </row>
    <row r="139" spans="1:7" x14ac:dyDescent="0.2">
      <c r="A139" s="19" t="s">
        <v>117</v>
      </c>
      <c r="B139" s="19"/>
      <c r="C139" s="19"/>
      <c r="D139" s="19"/>
      <c r="E139" s="19"/>
      <c r="F139" s="19"/>
      <c r="G139" s="19"/>
    </row>
    <row r="141" spans="1:7" x14ac:dyDescent="0.2">
      <c r="A141" s="2" t="s">
        <v>118</v>
      </c>
      <c r="B141" s="2">
        <f>SUM(B48:B50)+(0.5-0.2)</f>
        <v>3.94</v>
      </c>
    </row>
    <row r="142" spans="1:7" ht="13.5" thickBot="1" x14ac:dyDescent="0.25">
      <c r="A142" s="10" t="s">
        <v>119</v>
      </c>
      <c r="B142" s="1">
        <f>800*B141</f>
        <v>3152</v>
      </c>
    </row>
    <row r="144" spans="1:7" x14ac:dyDescent="0.2">
      <c r="A144" s="19" t="s">
        <v>120</v>
      </c>
      <c r="B144" s="19"/>
      <c r="C144" s="19"/>
      <c r="D144" s="19"/>
      <c r="E144" s="19"/>
      <c r="F144" s="19"/>
      <c r="G144" s="19"/>
    </row>
    <row r="145" spans="1:2" x14ac:dyDescent="0.2">
      <c r="A145" s="2" t="s">
        <v>121</v>
      </c>
      <c r="B145" s="2">
        <f>B38</f>
        <v>7.3999675745784694</v>
      </c>
    </row>
    <row r="146" spans="1:2" x14ac:dyDescent="0.2">
      <c r="A146" s="2" t="s">
        <v>122</v>
      </c>
      <c r="B146" s="2">
        <f>B132</f>
        <v>4015</v>
      </c>
    </row>
    <row r="147" spans="1:2" x14ac:dyDescent="0.2">
      <c r="A147" s="2" t="s">
        <v>123</v>
      </c>
      <c r="B147" s="2">
        <f>B146*B145</f>
        <v>29710.869811932556</v>
      </c>
    </row>
    <row r="148" spans="1:2" x14ac:dyDescent="0.2">
      <c r="A148" s="2" t="s">
        <v>124</v>
      </c>
      <c r="B148" s="2">
        <f>SUM(B151:B156)</f>
        <v>24940</v>
      </c>
    </row>
    <row r="149" spans="1:2" ht="13.5" thickBot="1" x14ac:dyDescent="0.25">
      <c r="A149" s="10" t="s">
        <v>127</v>
      </c>
      <c r="B149" s="1">
        <f>B147-B148</f>
        <v>4770.8698119325563</v>
      </c>
    </row>
    <row r="151" spans="1:2" x14ac:dyDescent="0.2">
      <c r="A151" s="2" t="s">
        <v>125</v>
      </c>
      <c r="B151" s="2">
        <v>2400</v>
      </c>
    </row>
    <row r="152" spans="1:2" x14ac:dyDescent="0.2">
      <c r="A152" s="2" t="s">
        <v>126</v>
      </c>
      <c r="B152" s="2">
        <v>15000</v>
      </c>
    </row>
    <row r="153" spans="1:2" x14ac:dyDescent="0.2">
      <c r="A153" s="2" t="s">
        <v>28</v>
      </c>
      <c r="B153" s="2">
        <v>1800</v>
      </c>
    </row>
    <row r="154" spans="1:2" x14ac:dyDescent="0.2">
      <c r="A154" s="2" t="s">
        <v>10</v>
      </c>
      <c r="B154" s="2">
        <v>2000</v>
      </c>
    </row>
    <row r="155" spans="1:2" x14ac:dyDescent="0.2">
      <c r="A155" s="2" t="s">
        <v>29</v>
      </c>
      <c r="B155" s="2">
        <v>1800</v>
      </c>
    </row>
    <row r="156" spans="1:2" x14ac:dyDescent="0.2">
      <c r="A156" s="2" t="s">
        <v>48</v>
      </c>
      <c r="B156" s="2">
        <v>1940</v>
      </c>
    </row>
  </sheetData>
  <mergeCells count="14">
    <mergeCell ref="A129:G129"/>
    <mergeCell ref="A139:G139"/>
    <mergeCell ref="A144:G144"/>
    <mergeCell ref="A2:G2"/>
    <mergeCell ref="A36:G36"/>
    <mergeCell ref="A46:G46"/>
    <mergeCell ref="A67:G67"/>
    <mergeCell ref="A83:G83"/>
    <mergeCell ref="A109:G109"/>
    <mergeCell ref="A118:G118"/>
    <mergeCell ref="C92:D92"/>
    <mergeCell ref="E92:F92"/>
    <mergeCell ref="G92:H92"/>
    <mergeCell ref="I92:J9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2020-11-28T19:10:15Z</dcterms:modified>
</cp:coreProperties>
</file>